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daschule$/DIZH/Innovationsprogramm/Kalkulationen/"/>
    </mc:Choice>
  </mc:AlternateContent>
  <xr:revisionPtr revIDLastSave="0" documentId="13_ncr:1_{59E0BBA4-9513-FE48-9F39-8F6A2A645E05}" xr6:coauthVersionLast="47" xr6:coauthVersionMax="47" xr10:uidLastSave="{00000000-0000-0000-0000-000000000000}"/>
  <bookViews>
    <workbookView xWindow="200" yWindow="460" windowWidth="51000" windowHeight="28340" activeTab="1" xr2:uid="{CFAFC911-70D3-7848-A0B5-60444B262177}"/>
  </bookViews>
  <sheets>
    <sheet name="Wegleitung Kalkulation" sheetId="26" r:id="rId1"/>
    <sheet name="DIZH Budget Kalkulation" sheetId="33" r:id="rId2"/>
    <sheet name="Personalkosten" sheetId="25" r:id="rId3"/>
    <sheet name="Teuerung" sheetId="35" state="hidden" r:id="rId4"/>
    <sheet name="PHZH_Personal_2023" sheetId="36" state="hidden" r:id="rId5"/>
    <sheet name="UZH_Personal_2021" sheetId="27" state="hidden" r:id="rId6"/>
    <sheet name="UZH_Personal_2022" sheetId="34" state="hidden" r:id="rId7"/>
    <sheet name="UZH_Personal_2023" sheetId="38" state="hidden" r:id="rId8"/>
    <sheet name="ZHAW_Personal" sheetId="28" state="hidden" r:id="rId9"/>
    <sheet name="ZHDK_Personal" sheetId="23" state="hidden" r:id="rId10"/>
    <sheet name="PHZH_Personal_22" sheetId="29" state="hidden" r:id="rId11"/>
    <sheet name="ZHAW - Kostensätze 2021" sheetId="30" state="hidden" r:id="rId12"/>
  </sheets>
  <definedNames>
    <definedName name="_xlnm.Print_Area" localSheetId="11">'ZHAW - Kostensätze 2021'!$B:$H</definedName>
    <definedName name="Finanzierung" localSheetId="4">PHZH_Personal_2023!$A$26:$A$29</definedName>
    <definedName name="Finanzierung" localSheetId="10">PHZH_Personal_22!$A$26:$A$29</definedName>
    <definedName name="Finanzierung" localSheetId="5">UZH_Personal_2021!#REF!</definedName>
    <definedName name="Finanzierung" localSheetId="6">UZH_Personal_2022!#REF!</definedName>
    <definedName name="Finanzierung" localSheetId="7">UZH_Personal_2023!#REF!</definedName>
    <definedName name="Finanzierung" localSheetId="8">ZHAW_Personal!#REF!</definedName>
    <definedName name="Finanzierung">ZHDK_Personal!$A$30:$A$33</definedName>
    <definedName name="Personalkostensätze" localSheetId="4">PHZH_Personal_2023!$A$6:$F$11</definedName>
    <definedName name="Personalkostensätze" localSheetId="10">PHZH_Personal_22!$A$6:$F$11</definedName>
    <definedName name="Personalkostensätze" localSheetId="5">UZH_Personal_2021!$A$4:$M$10</definedName>
    <definedName name="Personalkostensätze" localSheetId="6">UZH_Personal_2022!$A$5:$M$17</definedName>
    <definedName name="Personalkostensätze" localSheetId="7">UZH_Personal_2023!$A$5:$E$17</definedName>
    <definedName name="Personalkostensätze" localSheetId="8">ZHAW_Personal!$A$6:$F$10</definedName>
    <definedName name="Personalkostensätze">ZHDK_Personal!$A$6:$F$15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33" l="1"/>
  <c r="K61" i="33"/>
  <c r="H61" i="33"/>
  <c r="E61" i="33"/>
  <c r="K9" i="33"/>
  <c r="E9" i="33" l="1"/>
  <c r="E11" i="38"/>
  <c r="E10" i="38"/>
  <c r="E6" i="38"/>
  <c r="E5" i="38"/>
  <c r="E9" i="38" l="1"/>
  <c r="E8" i="38"/>
  <c r="E7" i="38"/>
  <c r="N50" i="33"/>
  <c r="K50" i="33"/>
  <c r="H50" i="33"/>
  <c r="E50" i="33"/>
  <c r="E74" i="33" l="1"/>
  <c r="G12" i="25" l="1"/>
  <c r="H12" i="25" s="1"/>
  <c r="G63" i="25" l="1"/>
  <c r="G17" i="25"/>
  <c r="G13" i="25"/>
  <c r="G16" i="25"/>
  <c r="G15" i="25"/>
  <c r="G14" i="25"/>
  <c r="G68" i="25" l="1"/>
  <c r="G67" i="25"/>
  <c r="G66" i="25"/>
  <c r="G65" i="25"/>
  <c r="G64" i="25"/>
  <c r="F11" i="36"/>
  <c r="D11" i="36"/>
  <c r="E11" i="36" s="1"/>
  <c r="F10" i="36"/>
  <c r="D10" i="36"/>
  <c r="E10" i="36" s="1"/>
  <c r="F9" i="36"/>
  <c r="D9" i="36"/>
  <c r="E9" i="36" s="1"/>
  <c r="F8" i="36"/>
  <c r="D8" i="36"/>
  <c r="E8" i="36" s="1"/>
  <c r="F7" i="36"/>
  <c r="D7" i="36"/>
  <c r="E7" i="36" s="1"/>
  <c r="B21" i="35" l="1"/>
  <c r="B20" i="35"/>
  <c r="F7" i="35"/>
  <c r="E28" i="33" l="1"/>
  <c r="G51" i="25" l="1"/>
  <c r="H51" i="25" s="1"/>
  <c r="M7" i="34"/>
  <c r="D4" i="25"/>
  <c r="D3" i="25"/>
  <c r="D2" i="25"/>
  <c r="D1" i="25"/>
  <c r="N88" i="33"/>
  <c r="K88" i="33"/>
  <c r="H88" i="33"/>
  <c r="E88" i="33"/>
  <c r="N81" i="33"/>
  <c r="E81" i="33"/>
  <c r="K81" i="33"/>
  <c r="H81" i="33"/>
  <c r="N74" i="33"/>
  <c r="K74" i="33"/>
  <c r="H74" i="33"/>
  <c r="K5" i="33"/>
  <c r="K4" i="33" s="1"/>
  <c r="F9" i="35"/>
  <c r="F8" i="35"/>
  <c r="F10" i="35" l="1"/>
  <c r="G9" i="35"/>
  <c r="G7" i="35"/>
  <c r="G12" i="35"/>
  <c r="G13" i="35" s="1"/>
  <c r="G14" i="35" s="1"/>
  <c r="G15" i="35" s="1"/>
  <c r="G16" i="35" s="1"/>
  <c r="G17" i="35" s="1"/>
  <c r="G18" i="35" s="1"/>
  <c r="G19" i="35" s="1"/>
  <c r="G20" i="35" s="1"/>
  <c r="G21" i="35" s="1"/>
  <c r="G22" i="35" s="1"/>
  <c r="G23" i="35" s="1"/>
  <c r="G24" i="35" s="1"/>
  <c r="G25" i="35" s="1"/>
  <c r="G26" i="35" s="1"/>
  <c r="G27" i="35" s="1"/>
  <c r="G28" i="35" s="1"/>
  <c r="G29" i="35" s="1"/>
  <c r="G30" i="35" s="1"/>
  <c r="G31" i="35" s="1"/>
  <c r="F12" i="35"/>
  <c r="F13" i="35" s="1"/>
  <c r="F14" i="35" s="1"/>
  <c r="F15" i="35" s="1"/>
  <c r="F16" i="35" s="1"/>
  <c r="F17" i="35" s="1"/>
  <c r="F18" i="35" s="1"/>
  <c r="F19" i="35" s="1"/>
  <c r="F20" i="35" s="1"/>
  <c r="F21" i="35" s="1"/>
  <c r="F22" i="35" s="1"/>
  <c r="F23" i="35" s="1"/>
  <c r="F24" i="35" s="1"/>
  <c r="F25" i="35" s="1"/>
  <c r="F26" i="35" s="1"/>
  <c r="F27" i="35" s="1"/>
  <c r="F28" i="35" s="1"/>
  <c r="F29" i="35" s="1"/>
  <c r="F30" i="35" s="1"/>
  <c r="F31" i="35" s="1"/>
  <c r="M9" i="34"/>
  <c r="M8" i="34"/>
  <c r="H17" i="25" l="1"/>
  <c r="H16" i="25"/>
  <c r="H15" i="25"/>
  <c r="H14" i="25"/>
  <c r="H13" i="25"/>
  <c r="M11" i="34"/>
  <c r="M10" i="34"/>
  <c r="Q9" i="34"/>
  <c r="Q8" i="34"/>
  <c r="O8" i="34"/>
  <c r="P8" i="34" s="1"/>
  <c r="Q7" i="34"/>
  <c r="O7" i="34"/>
  <c r="P7" i="34" s="1"/>
  <c r="L6" i="34"/>
  <c r="M6" i="34" s="1"/>
  <c r="L5" i="34"/>
  <c r="M5" i="34" s="1"/>
  <c r="K28" i="33"/>
  <c r="K35" i="33"/>
  <c r="K42" i="33"/>
  <c r="K53" i="33" s="1"/>
  <c r="B15" i="33"/>
  <c r="B16" i="33"/>
  <c r="B17" i="33"/>
  <c r="B18" i="33"/>
  <c r="B21" i="33"/>
  <c r="B22" i="33"/>
  <c r="B23" i="33"/>
  <c r="B24" i="33"/>
  <c r="B25" i="33"/>
  <c r="B26" i="33"/>
  <c r="B29" i="33"/>
  <c r="B30" i="33"/>
  <c r="B31" i="33"/>
  <c r="B32" i="33"/>
  <c r="B33" i="33"/>
  <c r="B36" i="33"/>
  <c r="B37" i="33"/>
  <c r="B38" i="33"/>
  <c r="B39" i="33"/>
  <c r="B40" i="33"/>
  <c r="B43" i="33"/>
  <c r="B44" i="33"/>
  <c r="B45" i="33"/>
  <c r="B46" i="33"/>
  <c r="B47" i="33"/>
  <c r="B48" i="33"/>
  <c r="E42" i="33"/>
  <c r="E53" i="33" s="1"/>
  <c r="H42" i="33"/>
  <c r="N42" i="33"/>
  <c r="H28" i="33"/>
  <c r="H35" i="33"/>
  <c r="E35" i="33"/>
  <c r="N28" i="33"/>
  <c r="N35" i="33"/>
  <c r="B68" i="33"/>
  <c r="B69" i="33"/>
  <c r="B70" i="33"/>
  <c r="B71" i="33"/>
  <c r="B72" i="33"/>
  <c r="B75" i="33"/>
  <c r="B76" i="33"/>
  <c r="B77" i="33"/>
  <c r="B78" i="33"/>
  <c r="B79" i="33"/>
  <c r="B82" i="33"/>
  <c r="B83" i="33"/>
  <c r="B84" i="33"/>
  <c r="B85" i="33"/>
  <c r="B86" i="33"/>
  <c r="M10" i="27"/>
  <c r="M9" i="27"/>
  <c r="M8" i="27"/>
  <c r="M7" i="27"/>
  <c r="L6" i="27"/>
  <c r="M6" i="27"/>
  <c r="L5" i="27"/>
  <c r="M5" i="27"/>
  <c r="H18" i="25"/>
  <c r="H20" i="25"/>
  <c r="H22" i="25"/>
  <c r="H23" i="25"/>
  <c r="H19" i="25"/>
  <c r="H21" i="25"/>
  <c r="G29" i="25"/>
  <c r="H29" i="25" s="1"/>
  <c r="G30" i="25"/>
  <c r="H30" i="25" s="1"/>
  <c r="G31" i="25"/>
  <c r="H31" i="25" s="1"/>
  <c r="G32" i="25"/>
  <c r="H32" i="25" s="1"/>
  <c r="G33" i="25"/>
  <c r="H33" i="25" s="1"/>
  <c r="G34" i="25"/>
  <c r="H34" i="25" s="1"/>
  <c r="H35" i="25"/>
  <c r="H36" i="25"/>
  <c r="H37" i="25"/>
  <c r="H38" i="25"/>
  <c r="H39" i="25"/>
  <c r="H40" i="25"/>
  <c r="G46" i="25"/>
  <c r="H46" i="25" s="1"/>
  <c r="G47" i="25"/>
  <c r="H47" i="25" s="1"/>
  <c r="G48" i="25"/>
  <c r="H48" i="25" s="1"/>
  <c r="G49" i="25"/>
  <c r="H49" i="25" s="1"/>
  <c r="G50" i="25"/>
  <c r="H50" i="25" s="1"/>
  <c r="H53" i="25"/>
  <c r="H55" i="25"/>
  <c r="H56" i="25"/>
  <c r="H57" i="25"/>
  <c r="H52" i="25"/>
  <c r="H54" i="25"/>
  <c r="H63" i="25"/>
  <c r="H64" i="25"/>
  <c r="H65" i="25"/>
  <c r="H66" i="25"/>
  <c r="H67" i="25"/>
  <c r="H68" i="25"/>
  <c r="H69" i="25"/>
  <c r="H71" i="25"/>
  <c r="H72" i="25"/>
  <c r="H73" i="25"/>
  <c r="H74" i="25"/>
  <c r="H70" i="25"/>
  <c r="D11" i="29"/>
  <c r="E11" i="29" s="1"/>
  <c r="F11" i="29"/>
  <c r="C7" i="28"/>
  <c r="D7" i="28" s="1"/>
  <c r="E7" i="28" s="1"/>
  <c r="A30" i="28"/>
  <c r="F10" i="29"/>
  <c r="D10" i="29"/>
  <c r="E10" i="29"/>
  <c r="F9" i="29"/>
  <c r="D9" i="29"/>
  <c r="E9" i="29" s="1"/>
  <c r="F8" i="29"/>
  <c r="D8" i="29"/>
  <c r="E8" i="29" s="1"/>
  <c r="F7" i="29"/>
  <c r="D7" i="29"/>
  <c r="E7" i="29" s="1"/>
  <c r="F10" i="28"/>
  <c r="D10" i="28"/>
  <c r="E10" i="28"/>
  <c r="F9" i="28"/>
  <c r="D9" i="28"/>
  <c r="E9" i="28" s="1"/>
  <c r="F8" i="28"/>
  <c r="D8" i="28"/>
  <c r="E8" i="28" s="1"/>
  <c r="F7" i="28"/>
  <c r="F15" i="23"/>
  <c r="D15" i="23"/>
  <c r="E15" i="23" s="1"/>
  <c r="F14" i="23"/>
  <c r="D14" i="23"/>
  <c r="E14" i="23"/>
  <c r="F13" i="23"/>
  <c r="D13" i="23"/>
  <c r="E13" i="23" s="1"/>
  <c r="F12" i="23"/>
  <c r="D12" i="23"/>
  <c r="E12" i="23"/>
  <c r="F11" i="23"/>
  <c r="D11" i="23"/>
  <c r="E11" i="23" s="1"/>
  <c r="F10" i="23"/>
  <c r="D10" i="23"/>
  <c r="E10" i="23" s="1"/>
  <c r="F9" i="23"/>
  <c r="D9" i="23"/>
  <c r="E9" i="23"/>
  <c r="F8" i="23"/>
  <c r="D8" i="23"/>
  <c r="F7" i="23"/>
  <c r="D7" i="23"/>
  <c r="E7" i="23" s="1"/>
  <c r="E8" i="23"/>
  <c r="C45" i="33" l="1"/>
  <c r="C46" i="33"/>
  <c r="C36" i="33"/>
  <c r="B88" i="33"/>
  <c r="B81" i="33"/>
  <c r="B74" i="33"/>
  <c r="B28" i="33"/>
  <c r="N53" i="33"/>
  <c r="H53" i="33"/>
  <c r="K89" i="33"/>
  <c r="E89" i="33"/>
  <c r="H59" i="25"/>
  <c r="H76" i="25"/>
  <c r="H42" i="25"/>
  <c r="N89" i="33"/>
  <c r="H89" i="33"/>
  <c r="B50" i="33"/>
  <c r="C47" i="33" s="1"/>
  <c r="B42" i="33"/>
  <c r="C39" i="33" s="1"/>
  <c r="B35" i="33"/>
  <c r="C33" i="33" s="1"/>
  <c r="H25" i="25"/>
  <c r="E11" i="33" s="1"/>
  <c r="C31" i="33" l="1"/>
  <c r="C43" i="33"/>
  <c r="C30" i="33"/>
  <c r="C40" i="33"/>
  <c r="C44" i="33"/>
  <c r="C38" i="33"/>
  <c r="C48" i="33"/>
  <c r="C32" i="33"/>
  <c r="C29" i="33"/>
  <c r="C37" i="33"/>
  <c r="C26" i="33"/>
  <c r="C25" i="33"/>
  <c r="C24" i="33"/>
  <c r="C23" i="33"/>
  <c r="C22" i="33"/>
  <c r="C21" i="33"/>
  <c r="E20" i="33"/>
  <c r="E52" i="33" s="1"/>
  <c r="B53" i="33"/>
  <c r="B89" i="33"/>
  <c r="H12" i="33"/>
  <c r="H20" i="33" s="1"/>
  <c r="H52" i="33" s="1"/>
  <c r="N14" i="33"/>
  <c r="N20" i="33" s="1"/>
  <c r="N52" i="33" s="1"/>
  <c r="K13" i="33"/>
  <c r="K20" i="33" s="1"/>
  <c r="K52" i="33" s="1"/>
  <c r="B11" i="33"/>
  <c r="B13" i="33" l="1"/>
  <c r="B14" i="33"/>
  <c r="B12" i="33"/>
  <c r="E54" i="33" l="1"/>
  <c r="E56" i="33" s="1"/>
  <c r="E57" i="33" s="1"/>
  <c r="F28" i="33" s="1"/>
  <c r="B20" i="33"/>
  <c r="C12" i="33" s="1"/>
  <c r="N54" i="33"/>
  <c r="N56" i="33" s="1"/>
  <c r="N57" i="33" s="1"/>
  <c r="K54" i="33"/>
  <c r="K56" i="33" s="1"/>
  <c r="K57" i="33" s="1"/>
  <c r="L20" i="33" s="1"/>
  <c r="H54" i="33"/>
  <c r="H56" i="33" s="1"/>
  <c r="H66" i="33" s="1"/>
  <c r="B52" i="33" l="1"/>
  <c r="C16" i="33"/>
  <c r="C15" i="33"/>
  <c r="C17" i="33"/>
  <c r="C14" i="33"/>
  <c r="C11" i="33"/>
  <c r="C13" i="33"/>
  <c r="C18" i="33"/>
  <c r="F50" i="33"/>
  <c r="F20" i="33"/>
  <c r="E66" i="33"/>
  <c r="F42" i="33"/>
  <c r="E60" i="33"/>
  <c r="F35" i="33"/>
  <c r="O20" i="33"/>
  <c r="H57" i="33"/>
  <c r="N66" i="33"/>
  <c r="N60" i="33"/>
  <c r="O50" i="33"/>
  <c r="O28" i="33"/>
  <c r="O35" i="33"/>
  <c r="O42" i="33"/>
  <c r="K60" i="33"/>
  <c r="L50" i="33"/>
  <c r="L28" i="33"/>
  <c r="L42" i="33"/>
  <c r="L35" i="33"/>
  <c r="K66" i="33"/>
  <c r="F66" i="33" l="1"/>
  <c r="B54" i="33"/>
  <c r="B56" i="33" s="1"/>
  <c r="B66" i="33" s="1"/>
  <c r="I42" i="33"/>
  <c r="I20" i="33"/>
  <c r="H60" i="33"/>
  <c r="I66" i="33" s="1"/>
  <c r="I50" i="33"/>
  <c r="I28" i="33"/>
  <c r="O66" i="33"/>
  <c r="I35" i="33"/>
  <c r="L66" i="33"/>
  <c r="B57" i="33" l="1"/>
  <c r="C20" i="33" s="1"/>
  <c r="N9" i="33" l="1"/>
  <c r="H9" i="33"/>
  <c r="B60" i="33"/>
  <c r="C66" i="33" s="1"/>
  <c r="C50" i="33"/>
  <c r="C42" i="33"/>
  <c r="C28" i="33"/>
  <c r="C35" i="33"/>
  <c r="B61" i="33" l="1"/>
  <c r="B62" i="33" s="1"/>
  <c r="B67" i="33" s="1"/>
  <c r="B65" i="33" s="1"/>
  <c r="C89" i="33" l="1"/>
  <c r="C67" i="33"/>
  <c r="C65" i="33" s="1"/>
  <c r="B90" i="33"/>
  <c r="C90" i="33" s="1"/>
  <c r="C61" i="33"/>
  <c r="C62" i="33"/>
  <c r="F61" i="33" l="1"/>
  <c r="E62" i="33"/>
  <c r="F62" i="33" s="1"/>
  <c r="H62" i="33"/>
  <c r="H67" i="33" s="1"/>
  <c r="K62" i="33"/>
  <c r="L62" i="33" s="1"/>
  <c r="L61" i="33"/>
  <c r="O61" i="33"/>
  <c r="N62" i="33"/>
  <c r="N67" i="33" s="1"/>
  <c r="N90" i="33" s="1"/>
  <c r="O90" i="33" s="1"/>
  <c r="I61" i="33"/>
  <c r="H90" i="33" l="1"/>
  <c r="I90" i="33" s="1"/>
  <c r="E67" i="33"/>
  <c r="E65" i="33" s="1"/>
  <c r="I67" i="33"/>
  <c r="I65" i="33" s="1"/>
  <c r="H65" i="33"/>
  <c r="I89" i="33"/>
  <c r="I62" i="33"/>
  <c r="K67" i="33"/>
  <c r="L89" i="33" s="1"/>
  <c r="N65" i="33"/>
  <c r="O89" i="33"/>
  <c r="O67" i="33"/>
  <c r="O65" i="33" s="1"/>
  <c r="O62" i="33"/>
  <c r="F89" i="33" l="1"/>
  <c r="E90" i="33"/>
  <c r="F90" i="33" s="1"/>
  <c r="F67" i="33"/>
  <c r="F65" i="33" s="1"/>
  <c r="L67" i="33"/>
  <c r="L65" i="33" s="1"/>
  <c r="K65" i="33"/>
  <c r="K90" i="33"/>
  <c r="L9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0" authorId="0" shapeId="0" xr:uid="{B525C5EA-DA96-314D-BA9B-90C2C223770D}">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die aktuell geltenden kalkulatorischen Kostensätze nach Personal-Kategorien hinterlegt. Dazu muss der Beschäftigungsgrad in % und die Anzahl Monate eingefügt werden --&gt; daraus werden anteilige Personalkosten kalkuliert und direkt übernommen (Zeilen 11 bis 14).
</t>
        </r>
        <r>
          <rPr>
            <sz val="10"/>
            <color rgb="FF000000"/>
            <rFont val="+mn-lt"/>
            <charset val="1"/>
          </rPr>
          <t xml:space="preserve">
</t>
        </r>
        <r>
          <rPr>
            <sz val="10"/>
            <color rgb="FF000000"/>
            <rFont val="+mn-lt"/>
            <charset val="1"/>
          </rPr>
          <t xml:space="preserve">--&gt; im Blatt "Personalkosten" gibt es zusätzliche Informationen.
</t>
        </r>
        <r>
          <rPr>
            <sz val="10"/>
            <color rgb="FF000000"/>
            <rFont val="+mn-lt"/>
            <charset val="1"/>
          </rPr>
          <t xml:space="preserve">
</t>
        </r>
        <r>
          <rPr>
            <sz val="10"/>
            <color rgb="FF000000"/>
            <rFont val="+mn-lt"/>
            <charset val="1"/>
          </rPr>
          <t xml:space="preserve">2) Alternativ können die Personalkosten auch manuell eingebeben werden in den Zeilen 15 bis 18 mit entsprechenden Kommentaren.
</t>
        </r>
        <r>
          <rPr>
            <sz val="10"/>
            <color rgb="FF000000"/>
            <rFont val="+mn-lt"/>
            <charset val="1"/>
          </rPr>
          <t xml:space="preserve">
</t>
        </r>
        <r>
          <rPr>
            <sz val="10"/>
            <color rgb="FF000000"/>
            <rFont val="+mn-lt"/>
            <charset val="1"/>
          </rPr>
          <t xml:space="preserve">
</t>
        </r>
        <r>
          <rPr>
            <sz val="10"/>
            <color rgb="FF000000"/>
            <rFont val="+mn-lt"/>
            <charset val="1"/>
          </rPr>
          <t xml:space="preserve">
</t>
        </r>
      </text>
    </comment>
    <comment ref="A28"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können beliebig überschrieben und bezeichnet werden.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5"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2"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55 von den Projektkosten abgezogen.</t>
        </r>
      </text>
    </comment>
    <comment ref="A50"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2"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3" authorId="0" shapeId="0" xr:uid="{A3EB8D7E-1072-C44B-8756-9D9691DEF06E}">
      <text>
        <r>
          <rPr>
            <sz val="10"/>
            <color rgb="FF000000"/>
            <rFont val="+mn-lt"/>
            <charset val="1"/>
          </rPr>
          <t xml:space="preserve">
</t>
        </r>
        <r>
          <rPr>
            <sz val="10"/>
            <color rgb="FF000000"/>
            <rFont val="+mn-lt"/>
            <charset val="1"/>
          </rPr>
          <t>Da die Finanzierung momentan nicht geregelt ist, wird der Anteil der Praxispartner von den Projektkosten abgezogen.</t>
        </r>
      </text>
    </comment>
    <comment ref="A54"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6"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59"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Beantragte DIZH Gelder müssen mit mindestens 50% Eigenleistungs-Anteil gedeckt sein (siehe Auszug aus Konzept).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6"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6"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6"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6"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6"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6"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6"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6"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6"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7"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7"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7"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7"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7"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4"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1"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8"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89"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89" authorId="0" shapeId="0" xr:uid="{D3703C1C-CAB0-7541-8D7D-C1BCBD9806F3}">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89" authorId="0" shapeId="0" xr:uid="{C39A919B-CBC8-6644-BD2C-F5FF75FDD916}">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89" authorId="0" shapeId="0" xr:uid="{E8284038-E879-F34C-B1BD-860BE1D25CA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89" authorId="0" shapeId="0" xr:uid="{697C0615-FAA8-3F48-BDD9-FEAE3B5A4CC7}">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89" authorId="0" shapeId="0" xr:uid="{54B58A9E-1417-E64D-BD00-0B86A4642DD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A90"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B90" authorId="0" shapeId="0" xr:uid="{4C3F4689-0266-C146-8EF3-1A3BCE5C05A1}">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E90" authorId="0" shapeId="0" xr:uid="{324D05A8-8591-8A44-B333-827317C8759A}">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H90" authorId="0" shapeId="0" xr:uid="{815AC1A0-D52E-C144-9635-70F61D7542FC}">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K90" authorId="0" shapeId="0" xr:uid="{01877EF7-6002-C04B-B453-C6BD242A8C7E}">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N90" authorId="0" shapeId="0" xr:uid="{B86191D5-B3AD-4C47-A35A-FABDDE4C7B65}">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sz val="10"/>
            <color rgb="FF000000"/>
            <rFont val="Calibri"/>
            <family val="2"/>
            <scheme val="minor"/>
          </rPr>
          <t>1) Hilfassistenzen:
Hilfassistenzen ohne Bachelor:</t>
        </r>
        <r>
          <rPr>
            <sz val="10"/>
            <color rgb="FF000000"/>
            <rFont val="Calibri"/>
            <family val="2"/>
            <scheme val="minor"/>
          </rPr>
          <t xml:space="preserve"> </t>
        </r>
        <r>
          <rPr>
            <sz val="10"/>
            <color rgb="FF000000"/>
            <rFont val="Calibri"/>
            <family val="2"/>
            <scheme val="minor"/>
          </rPr>
          <t>Lohnklasse 10. Lohnstufen 03. CHF 73’263 für einen Jahreslohn mit 100% Pensum (inkl. 14 % Sozialleistungen).</t>
        </r>
        <r>
          <rPr>
            <sz val="10"/>
            <color rgb="FF000000"/>
            <rFont val="Calibri"/>
            <family val="2"/>
            <scheme val="minor"/>
          </rPr>
          <t xml:space="preserve"> </t>
        </r>
        <r>
          <rPr>
            <sz val="10"/>
            <color rgb="FF000000"/>
            <rFont val="Calibri"/>
            <family val="2"/>
            <scheme val="minor"/>
          </rPr>
          <t>Hilfassistenzen mit Bachelor:</t>
        </r>
        <r>
          <rPr>
            <sz val="10"/>
            <color rgb="FF000000"/>
            <rFont val="Calibri"/>
            <family val="2"/>
            <scheme val="minor"/>
          </rPr>
          <t xml:space="preserve"> </t>
        </r>
        <r>
          <rPr>
            <sz val="10"/>
            <color rgb="FF000000"/>
            <rFont val="Calibri"/>
            <family val="2"/>
            <scheme val="minor"/>
          </rPr>
          <t>Lohnklasse 10. Lohnstufen 03. CHF 84'847 für einen Jahreslohn mit 100% Pensum (inkl. 14 % Sozialleistungen).</t>
        </r>
        <r>
          <rPr>
            <sz val="10"/>
            <color rgb="FF000000"/>
            <rFont val="Calibri"/>
            <family val="2"/>
            <scheme val="minor"/>
          </rPr>
          <t xml:space="preserve"> </t>
        </r>
        <r>
          <rPr>
            <i/>
            <sz val="10"/>
            <color rgb="FF000000"/>
            <rFont val="+mn-lt"/>
            <charset val="1"/>
          </rPr>
          <t xml:space="preserve">
</t>
        </r>
        <r>
          <rPr>
            <i/>
            <sz val="10"/>
            <color rgb="FF000000"/>
            <rFont val="+mn-lt"/>
            <charset val="1"/>
          </rPr>
          <t xml:space="preserve">
</t>
        </r>
        <r>
          <rPr>
            <sz val="10"/>
            <color rgb="FF000000"/>
            <rFont val="Calibri"/>
            <family val="2"/>
            <scheme val="minor"/>
          </rPr>
          <t xml:space="preserve">2) Doktoranden:
</t>
        </r>
        <r>
          <rPr>
            <sz val="10"/>
            <color rgb="FF000000"/>
            <rFont val="Calibri"/>
            <family val="2"/>
            <scheme val="minor"/>
          </rPr>
          <t>Gem. UZH Einreihungsrichtlinien: 60% Pensum.
Die Jahreslöhne (inkl. 14.5 % Sozialleistungen) sind folgende:
Doktorierende 1. Jahr  -&gt; CHF 89'768  / Bei 60% Pensum: CHF 53'861
Doktorierende 2. Jahr -&gt; CHF 92'631  / Bei 60% Pensum: CHF 55'578
Doktorierende 3. u. 4. Jahr -&gt; CHF 95'431  / Bei 60% Pensum: CHF 57'296
--&gt; Das Pensum muss in Spalte E angepasst werden. Meistens: 60%!
Research Assistant:
Lohnklasse 17 mit Lohnstufe 03: Jahreslohn (inkl. 15% Sozialleistungen): CHF 108'184 mit 100% Pensum.</t>
        </r>
        <r>
          <rPr>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Post Docs:
Lohnklasse 18 mit Lohnstufe 03. Ergibt einen Jahreslohn (inkl. 15 % Sozialleistungen) von CHF 115'276 mit 100% Pensum.
alle anderen Personalkategorien können manuell in den dafür vorgesehenen Zeilen eingegeben werden.</t>
        </r>
        <r>
          <rPr>
            <sz val="10"/>
            <color rgb="FF000000"/>
            <rFont val="Calibri"/>
            <family val="2"/>
            <scheme val="minor"/>
          </rPr>
          <t xml:space="preserve">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ZHAW.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author>
    <author>Gabriele Prohaska</author>
  </authors>
  <commentList>
    <comment ref="M2" authorId="0" shapeId="0" xr:uid="{F873E3F2-E7EC-6443-8B25-FB97FBEA4120}">
      <text>
        <r>
          <rPr>
            <b/>
            <sz val="10"/>
            <color rgb="FF000000"/>
            <rFont val="Tahoma"/>
            <family val="2"/>
          </rPr>
          <t xml:space="preserve">Kosten pro Jahr (inkl. Sozialleistungen):
</t>
        </r>
        <r>
          <rPr>
            <b/>
            <sz val="10"/>
            <color rgb="FF000000"/>
            <rFont val="Tahoma"/>
            <family val="2"/>
          </rPr>
          <t xml:space="preserve">
</t>
        </r>
        <r>
          <rPr>
            <sz val="10"/>
            <color rgb="FF000000"/>
            <rFont val="Tahoma"/>
            <family val="2"/>
          </rPr>
          <t>Diese Spalte entspricht den durchschnittlichen Kosten pro Personalkategorie (</t>
        </r>
        <r>
          <rPr>
            <sz val="10"/>
            <color rgb="FF000000"/>
            <rFont val="Calibri"/>
            <family val="2"/>
            <scheme val="minor"/>
          </rPr>
          <t>inklusive Sozialleistungen</t>
        </r>
        <r>
          <rPr>
            <sz val="10"/>
            <color rgb="FF000000"/>
            <rFont val="Calibri"/>
            <family val="2"/>
            <scheme val="minor"/>
          </rPr>
          <t>)</t>
        </r>
        <r>
          <rPr>
            <sz val="10"/>
            <color rgb="FF000000"/>
            <rFont val="Tahoma"/>
            <family val="2"/>
          </rPr>
          <t xml:space="preserve"> für ein 100% Pensum (auch bei den Doktorienden ist ein 100% Pensum die Basis).
</t>
        </r>
        <r>
          <rPr>
            <sz val="10"/>
            <color rgb="FF000000"/>
            <rFont val="Tahoma"/>
            <family val="2"/>
          </rPr>
          <t xml:space="preserve">
</t>
        </r>
        <r>
          <rPr>
            <sz val="10"/>
            <color rgb="FF000000"/>
            <rFont val="Tahoma"/>
            <family val="2"/>
          </rPr>
          <t xml:space="preserve">Diese Spalte wird im Blatt "Personalkosten" berücksichtigt.
</t>
        </r>
      </text>
    </comment>
    <comment ref="K6" authorId="1"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1"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1"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1"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552BBF3B-045F-2941-9742-5C4549DEF394}">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99AAAA7-DEB9-DE48-8489-43F65033DA08}">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sharedStrings.xml><?xml version="1.0" encoding="utf-8"?>
<sst xmlns="http://schemas.openxmlformats.org/spreadsheetml/2006/main" count="750" uniqueCount="414">
  <si>
    <t>Sachkosten</t>
  </si>
  <si>
    <t>in %</t>
  </si>
  <si>
    <t>Overhead</t>
  </si>
  <si>
    <t>DETAIL</t>
  </si>
  <si>
    <t>CHF</t>
  </si>
  <si>
    <t>TOTAL SACHKOSTEN</t>
  </si>
  <si>
    <t>TOTAL SUBCONTRACTING</t>
  </si>
  <si>
    <t>TOTAL PRAXISPARTNER</t>
  </si>
  <si>
    <t>Praxispartner</t>
  </si>
  <si>
    <t>TOTAL PERSONAL INTERN</t>
  </si>
  <si>
    <t>…</t>
  </si>
  <si>
    <t>zum selber beschriften und ausfüllen</t>
  </si>
  <si>
    <t xml:space="preserve">Bei Anlagen klären ob diese bereits HS-intern verfügbar sind. </t>
  </si>
  <si>
    <t>GESAMTPROJEKTKOSTEN</t>
  </si>
  <si>
    <t>ERFORDERLICHES MATCHING FUNDS TOTAL</t>
  </si>
  <si>
    <t>Anlagen unterhalb Aktivierunsgrenze</t>
  </si>
  <si>
    <t>TOTAL GERÄTE / ANLAGEN</t>
  </si>
  <si>
    <t>Beschaffungen von Anlagen grösser als 10 TCHF (UZH) oder 50 TCHF (übrige HS) gibt es keine DIZH Gelder.</t>
  </si>
  <si>
    <t>Zeile ist Beispiel und kann überschrieben werden. Idealerweise liegt eine Offerte vor.</t>
  </si>
  <si>
    <t>HS</t>
  </si>
  <si>
    <t>ZHAW</t>
  </si>
  <si>
    <t>UZH</t>
  </si>
  <si>
    <t>ZHdK</t>
  </si>
  <si>
    <t>PHZH</t>
  </si>
  <si>
    <t>Personalkosten</t>
  </si>
  <si>
    <t>PROJEKT-FINANZIERUNG:</t>
  </si>
  <si>
    <t>MATCHING FUNDS DECKUNG:</t>
  </si>
  <si>
    <t>MATCHING FUNDS TOTAL</t>
  </si>
  <si>
    <t>phzh</t>
  </si>
  <si>
    <t>Auflösung von Reserven</t>
  </si>
  <si>
    <t>Umschichtung aus bestehenden Erträgen</t>
  </si>
  <si>
    <t>Differenz</t>
  </si>
  <si>
    <t>z.B. Programmierung</t>
  </si>
  <si>
    <t>z.B. Beratungshonorar</t>
  </si>
  <si>
    <t>z.B. Webpage</t>
  </si>
  <si>
    <t>z.B. externer Event (läuft über Event-Agentur)</t>
  </si>
  <si>
    <t>z.B. Laptops</t>
  </si>
  <si>
    <t>z.B. Drucker</t>
  </si>
  <si>
    <t>Projekt-Bezeichnung:</t>
  </si>
  <si>
    <t>Antragsteller (Name, HS):</t>
  </si>
  <si>
    <t>beteiligte Hochschulen</t>
  </si>
  <si>
    <t>Person</t>
  </si>
  <si>
    <t>Aufgabe</t>
  </si>
  <si>
    <t>Monate</t>
  </si>
  <si>
    <t>Jahreskosten</t>
  </si>
  <si>
    <t>Doz</t>
  </si>
  <si>
    <t>ZHdK vorhanden</t>
  </si>
  <si>
    <t>WiMa</t>
  </si>
  <si>
    <t>benötigt</t>
  </si>
  <si>
    <t>DIZH-Institution</t>
  </si>
  <si>
    <t>overhead (vorhanden)</t>
  </si>
  <si>
    <t>Personalkategorien Planung</t>
  </si>
  <si>
    <t xml:space="preserve">Stundensätze für </t>
  </si>
  <si>
    <t>Jahresstunden</t>
  </si>
  <si>
    <t>Kosten pro Jahr</t>
  </si>
  <si>
    <t>Kosten pro Monat</t>
  </si>
  <si>
    <t>Kosten pro Tag</t>
  </si>
  <si>
    <t>Planung/Verrechnung</t>
  </si>
  <si>
    <t>für Planung</t>
  </si>
  <si>
    <t>in CHF</t>
  </si>
  <si>
    <t>bei 100% BG</t>
  </si>
  <si>
    <t>Prof</t>
  </si>
  <si>
    <t>Ass.</t>
  </si>
  <si>
    <t>ATP A</t>
  </si>
  <si>
    <t>ATP B</t>
  </si>
  <si>
    <t>ATP C</t>
  </si>
  <si>
    <t>ATP D</t>
  </si>
  <si>
    <t>ATP E</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</si>
  <si>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</si>
  <si>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</si>
  <si>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</si>
  <si>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</si>
  <si>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</si>
  <si>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</si>
  <si>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</si>
  <si>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</si>
  <si>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</si>
  <si>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</si>
  <si>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</si>
  <si>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</si>
  <si>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</si>
  <si>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Faktoren</t>
  </si>
  <si>
    <t>TOTAL PERSONALKOSTEN ZHdK</t>
  </si>
  <si>
    <t>TOTAL PERSONALKOSTEN UZH</t>
  </si>
  <si>
    <t>TOTAL PERSONALKOSTEN ZHAW</t>
  </si>
  <si>
    <t>TOTAL PERSONALKOSTEN PHZH</t>
  </si>
  <si>
    <t>Besch-Grad</t>
  </si>
  <si>
    <t>Projekt-Bezeichnung</t>
  </si>
  <si>
    <t>Antragsteller (Name, HS)</t>
  </si>
  <si>
    <t xml:space="preserve">In den Zellen 1A - 4A müssen Angaben zum Projekt gemacht werden. </t>
  </si>
  <si>
    <t>VORGABEN FÜR ANRECHENBARE SACHKOSTEN</t>
  </si>
  <si>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</si>
  <si>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</si>
  <si>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</si>
  <si>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weiter zu beachten:</t>
  </si>
  <si>
    <t>VORGABEN FÜR SUBCONTRACTING</t>
  </si>
  <si>
    <t>Ausgaben für "Subcontracting"-Aufträge müssen von den Sachkosten getrennt werden.</t>
  </si>
  <si>
    <t>Erläuterungen:</t>
  </si>
  <si>
    <t>Beispiele:</t>
  </si>
  <si>
    <t>Programmierungen, Beratungen, Erstellen Web-Auftritt, Event-Agenturen etc.</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</si>
  <si>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</si>
  <si>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</si>
  <si>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Der Overhead beträgt immer 20% der Gesamtprojektkosten!</t>
  </si>
  <si>
    <t>Erläuterung:</t>
  </si>
  <si>
    <t>kalkulierte Projektkosten: 80%</t>
  </si>
  <si>
    <t>+ Overhead: 20%</t>
  </si>
  <si>
    <t>Vorgabe für den DIZH Sonderkredit:</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</si>
  <si>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</si>
  <si>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</si>
  <si>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</si>
  <si>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</si>
  <si>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Personal UZH (Übertrag aus "Personalkosten)</t>
  </si>
  <si>
    <t>Personal ZHAW (Übertrag aus "Personalkosten)</t>
  </si>
  <si>
    <t>Personal ZHdK (Übertrag aus "Personalkosten)</t>
  </si>
  <si>
    <t>Personal PHZH (Übertrag aus "Personalkosten)</t>
  </si>
  <si>
    <t>anteilmässige Projektkosten CHF</t>
  </si>
  <si>
    <t>Themen</t>
  </si>
  <si>
    <t>Subcontracting</t>
  </si>
  <si>
    <t>PROJEKT-BEZEICHNUNG</t>
  </si>
  <si>
    <t>KALKULATION OVERHEAD</t>
  </si>
  <si>
    <t>Kalkulation Overhead</t>
  </si>
  <si>
    <t>Infos zu Projekt-Finanzierung</t>
  </si>
  <si>
    <t>Erläuterungen</t>
  </si>
  <si>
    <t>ERLÄUTERUNGEN ZU DIESER WEGLEITUNG:</t>
  </si>
  <si>
    <t>wird vom Blatt "Personalkosten" direkt übernommen</t>
  </si>
  <si>
    <t>KALKULATION PERSONALKOSTEN:</t>
  </si>
  <si>
    <t>In diesen Zeilen können die Jahreskosten manuell eingegeben werden.</t>
  </si>
  <si>
    <t>kann beliebig ausgefüllt werden.</t>
  </si>
  <si>
    <t>Zelle 1A:</t>
  </si>
  <si>
    <t>Zelle 2A:</t>
  </si>
  <si>
    <t>Zelle 3A:</t>
  </si>
  <si>
    <t>Sofern es Sinn macht, kann sich eine Zeile auf mehrere Hochschulen beziehen.</t>
  </si>
  <si>
    <t>HINWEIS: Alle hier notierten Erklärungen und Erläuterungen sind in der Kalkulation (Zellen mit rotem Dreieck) als Notiz hinterlegt.</t>
  </si>
  <si>
    <t>Kostensätze ZHAW 2021</t>
  </si>
  <si>
    <t>gültig ab 01.01.2021 (Basis für Budget 2021)</t>
  </si>
  <si>
    <t>pro Stunde; Angaben in CHF</t>
  </si>
  <si>
    <t>unverändert gegenüber 2020</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</si>
  <si>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</si>
  <si>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</si>
  <si>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</si>
  <si>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</si>
  <si>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</si>
  <si>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</si>
  <si>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</si>
  <si>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</si>
  <si>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</si>
  <si>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</si>
  <si>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</si>
  <si>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</si>
  <si>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</si>
  <si>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</si>
  <si>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</si>
  <si>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</si>
  <si>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</si>
  <si>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</si>
  <si>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</si>
  <si>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</si>
  <si>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Wiss. Assistierende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</si>
  <si>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</si>
  <si>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</si>
  <si>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</si>
  <si>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</si>
  <si>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</si>
  <si>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</si>
  <si>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</si>
  <si>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</si>
  <si>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Dozierende / Lehrbeauftragte</t>
  </si>
  <si>
    <t>Antragsteller*in (Name, HS)</t>
  </si>
  <si>
    <t>SNF ist mit Istlöhnen</t>
  </si>
  <si>
    <t>std</t>
  </si>
  <si>
    <t>Wochen Ferien</t>
  </si>
  <si>
    <t>Feiertage</t>
  </si>
  <si>
    <t>4*42 Selbstausbildungszeit wird noch abgezogen</t>
  </si>
  <si>
    <t>Arbeitstage</t>
  </si>
  <si>
    <t>Einzubringende Eigenleistungen</t>
  </si>
  <si>
    <t>Einzubringende Eigenleistungen:</t>
  </si>
  <si>
    <t>Diese Wegleitung dient dazu, dem*r Antragsteller*in die geltenden Regeln sowie wichtige Erläuterungen für jeden Abschnitt darzulegen.</t>
  </si>
  <si>
    <t>Pro Hochschule gibt es ein Kalkulationsfenster mit 12 Zeilen. In den ersten 6 Zeilen sind fixe Standard-Kostensätze hinterlegt. Die letzten 6 Zeilen können beliebig überschrieben werden.</t>
  </si>
  <si>
    <t>4) Keine Reserveposten aufbauen!</t>
  </si>
  <si>
    <t>Ein Subcontractor ist typischerweise eine externe Firma die für das DIZH Projekt eine Arbeit erledigt, die nicht Hochschul-intern erbracht werden kann.</t>
  </si>
  <si>
    <t>- Sofern aus dem Subcontracting ein immaterieller Wert (z.B. Software) entsteht, kann dies unter Umständen zu einem Investitionsbedarf führen.</t>
  </si>
  <si>
    <r>
      <t>Grundsatz</t>
    </r>
    <r>
      <rPr>
        <sz val="12"/>
        <color rgb="FF000000"/>
        <rFont val="Helvetica"/>
        <family val="2"/>
      </rPr>
      <t>:</t>
    </r>
  </si>
  <si>
    <t>Diese Spaltentrennung ist erforderlich, damit die Finanzierung pro Hochschule separat ersichtlich ist.</t>
  </si>
  <si>
    <t>Std</t>
  </si>
  <si>
    <t>Std-Satz</t>
  </si>
  <si>
    <t>Personalkosten ZHdK:</t>
  </si>
  <si>
    <t>Die Jahreskosten im Verhältnis des ausgewählten Beschäftigungs-Grades und der Anzahl Monate.</t>
  </si>
  <si>
    <t>Personalkosten ZHAW:</t>
  </si>
  <si>
    <t>Std-Satz:</t>
  </si>
  <si>
    <t>Die Anzahl Stunden multipliziert mit dem internen Stunden-Satz.</t>
  </si>
  <si>
    <t>Personalkosten UZH:</t>
  </si>
  <si>
    <t>Personalkosten PHZH:</t>
  </si>
  <si>
    <t>Personal-Kategorie: DROP-DOWN der Personalkategorie gemäss Vorgaben ZHdK.</t>
  </si>
  <si>
    <t>Aufgabe: Rolle innerhalb des Projektes</t>
  </si>
  <si>
    <t>Besch-Grad: Der "Beschäftigungs-Grad" des Mitarbeiters im Projekt in %.</t>
  </si>
  <si>
    <t>Monate: Die Beschäftigungs-Dauer des Mitarbeiters in Monaten.</t>
  </si>
  <si>
    <t>Jahreskosten:</t>
  </si>
  <si>
    <t>anteilmässige Projektkosten:</t>
  </si>
  <si>
    <t>weisse Felder: Die Lohnkosten werden gemäss gewählter Personal-Kategorie automatisch übernommen.</t>
  </si>
  <si>
    <t xml:space="preserve">orange Felder: Die Jahreskosten können manuell eingegeben werden. </t>
  </si>
  <si>
    <t>Personal-Kategorie: DROP-DOWN der Personalkategorie gemäss Vorgaben ZHAW.</t>
  </si>
  <si>
    <t>Aufgabe: Rolle innerhalb des Projektes.</t>
  </si>
  <si>
    <t xml:space="preserve">Std: Stunden des Mitarbeiters für das Projekt (z.B. gemäss Projektplan) </t>
  </si>
  <si>
    <t>orange Felder: Kostensatz kann selber eingefügt werden.</t>
  </si>
  <si>
    <r>
      <t xml:space="preserve">weisse Felder: interne Kostensätze gemäss gewählter Personal-Kategorie. </t>
    </r>
    <r>
      <rPr>
        <sz val="12"/>
        <color theme="1"/>
        <rFont val="Helvetica"/>
        <family val="2"/>
      </rPr>
      <t>=&gt; Lohnintervall, in dem erfahrungsgemäss die grösste Anzahl von Mitarbeitenden zu finden ist.</t>
    </r>
  </si>
  <si>
    <t>VORGABEN FÜR PRAXISPARTNER</t>
  </si>
  <si>
    <t>Kalkulationsschema PHZH</t>
  </si>
  <si>
    <t>Kalkulationsschema UZH</t>
  </si>
  <si>
    <t>Kalkulationsschema ZHAW</t>
  </si>
  <si>
    <t>Kalkulationsschema ZHdK</t>
  </si>
  <si>
    <t>Beschaffungen von Geräten, Anlagen und Infrastrukturen welche für das Projekt unabdingbar sind und einen Nutzen von mindestens einem Jahr aufweisen.</t>
  </si>
  <si>
    <t>Ausgaben für Miete von Geräten müssen ebenfalls angegeben werden.</t>
  </si>
  <si>
    <t>UZH: 10 TCHF</t>
  </si>
  <si>
    <t>PHZH, ZHAW, ZHdK: 50 TCHF</t>
  </si>
  <si>
    <r>
      <rPr>
        <i/>
        <sz val="12"/>
        <color rgb="FF000000"/>
        <rFont val="Helvetica"/>
        <family val="2"/>
      </rPr>
      <t>Beispiele</t>
    </r>
    <r>
      <rPr>
        <sz val="12"/>
        <color rgb="FF000000"/>
        <rFont val="Helvetica"/>
        <family val="2"/>
      </rPr>
      <t>:</t>
    </r>
  </si>
  <si>
    <t xml:space="preserve">Schwellenwerte: </t>
  </si>
  <si>
    <t>Anschaffungen welche diese Schwellenwerte übersteigen, müssen Hochschul-intern beschafft werden und können nicht mit DIZH Geldern finanziert werden.</t>
  </si>
  <si>
    <t>Praxisnahe Beispiele für UZH:</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</si>
  <si>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</si>
  <si>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</si>
  <si>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</si>
  <si>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Beschaffung von "Oculus Quest" Umgebung: 8 TCHF. Kann durch DIZH Gelder finanziert werden.</t>
  </si>
  <si>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</si>
  <si>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</si>
  <si>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</si>
  <si>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</si>
  <si>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Betreffend der Finanzierung gibt es momentan keine geltende Regelung und daher können diese Beträge nicht für die DIZH Gelder berücksichtigt werden.</t>
  </si>
  <si>
    <t>Daher ist es wichtig, den monetären Wert dieser Zusammenarbeit mit dem externen Praxispartner in den dafür vorgesehenen Zeilen anzugeben.</t>
  </si>
  <si>
    <t>Das heisst die Hochschulen dürfen im Moment die "In-Kind Leistungen" der Praxispartner im Rahmen des DIZH Finanzreportings nicht inkludieren.</t>
  </si>
  <si>
    <t>abzüglich Praxispartner</t>
  </si>
  <si>
    <t>Freie universitäre Mittel des Lehrstuhls bzw. des Instituts (no earmarked funds) als Cash</t>
  </si>
  <si>
    <t>-</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</si>
  <si>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</si>
  <si>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</si>
  <si>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</si>
  <si>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</si>
  <si>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</si>
  <si>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</si>
  <si>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</si>
  <si>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</si>
  <si>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</si>
  <si>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</si>
  <si>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</si>
  <si>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a) Cash-Leistungen (verfügbares Geld um bestimmte Ausgaben tätigen zu können): </t>
  </si>
  <si>
    <t>b) in-kind-Leistungen (eine bereits laufende Anstellung die möglicherweise auf das Projeke umgebucht werden kann): </t>
  </si>
  <si>
    <t>Geräte / Anlagen / Infrastruktur</t>
  </si>
  <si>
    <t>GERÄTE / ANLAGEN / INFRASTRUKTUR</t>
  </si>
  <si>
    <t>Drittmittel, bei denen der Geldgeber einer Umwidmung zugestimmt hat.</t>
  </si>
  <si>
    <t>Monetarisiert durch jeweiligen Stundenansatz, wird vom jeweiligen Vorgesetzten bestätigt.</t>
  </si>
  <si>
    <t>Open Access Kosten, Mietkosten, Versicherungen, Werbe-Kosten, Druckkosten etc.</t>
  </si>
  <si>
    <t>Spesen: z.B. Reisekosten für Konferenzbesuche, Kosten für Einladen von Referenten an Workshops, Kosten für Catering oder andere Verpflegung etc.</t>
  </si>
  <si>
    <t>Hilfsassistenzen</t>
  </si>
  <si>
    <t>Post-Docs</t>
  </si>
  <si>
    <t>Lohnklasse 10 mit LS 3 - 11</t>
  </si>
  <si>
    <t>Mittelwert</t>
  </si>
  <si>
    <t>Doktoranden</t>
  </si>
  <si>
    <t>Pensum</t>
  </si>
  <si>
    <t>Lohnklasse 18/03</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</si>
  <si>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</si>
  <si>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</si>
  <si>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</si>
  <si>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</si>
  <si>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2) Doktoranden:</t>
  </si>
  <si>
    <t>alle anderen Personalkategorien können manuell in den dafür vorgesehenen Zeilen eingegeben werden.</t>
  </si>
  <si>
    <t>Zeilen mit Dropdown Menu in der Spalte "Personal-Kategorie"</t>
  </si>
  <si>
    <t>Laborgeräte, Maschinen, Instrumente, Werkzeuge, Hardware (inkl. Betriebssoftware), Drucker, Fahrzeuge, Mobiliar, Software, Lizenzen, Patente etc.</t>
  </si>
  <si>
    <t>ATP</t>
  </si>
  <si>
    <t>Personal-Kategorie: DROP-DOWN der Personalkategorie gemäss Vorgaben PHZH.</t>
  </si>
  <si>
    <t>Prof.: 90 CHF</t>
  </si>
  <si>
    <t>Doz.: 90 CHF</t>
  </si>
  <si>
    <t>Wima: 70 CHF</t>
  </si>
  <si>
    <t>Wiss. Assistierende: 40 CHF</t>
  </si>
  <si>
    <t>Es gelten folgende Stunden-Sätze (und diese werden mit 1'900 Std multipliziert):</t>
  </si>
  <si>
    <t>Hingegen dürfen Anschaffungen von Geräten &amp; Anlagen unterhalb dieses Schwellenwertes für den DIZH Kredit angegeben werden.</t>
  </si>
  <si>
    <t>GESAMTPROJEKTKOSTEN (mit PP)</t>
  </si>
  <si>
    <t>GESAMTPROJEKTKOSTEN (ohne PP)</t>
  </si>
  <si>
    <t>GESAMTPROJEKTKOSTEN INKL. OH</t>
  </si>
  <si>
    <t>OVERHEAD (OH)</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</si>
  <si>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</si>
  <si>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</si>
  <si>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</si>
  <si>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</si>
  <si>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</si>
  <si>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</si>
  <si>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inkl. Soz. leistungen</t>
  </si>
  <si>
    <t>Personal-Kategorie</t>
  </si>
  <si>
    <t>Eingeworbene/einzuwerbende Drittmittel</t>
  </si>
  <si>
    <t>Drittmittel, die von Projektpartnern (z.B. Cashbeiträge von Praxispartnern) zur Verfügung gestellt werden und auf einem Drittmittelkonto landen.</t>
  </si>
  <si>
    <t xml:space="preserve">Für ZHAW-Finanzierungsanteile gilt: Es sind mind. 6.6% der Gesamtkosten an eingeworbenen Drittmitteln nachzuweisen.  </t>
  </si>
  <si>
    <t>WEGLEITUNG FÜR DIZH KALKULATION</t>
  </si>
  <si>
    <t>Für jede beteiligte Hochschule gibt es separate Spalten: PHZH: Spalte E; UZH: Spalte H; ZHAW: Spalte K; ZHdK: Spalte N.</t>
  </si>
  <si>
    <t>Hilfassistenzen ohne Bachelor:</t>
  </si>
  <si>
    <t>Hilfassistenzen mit Bachelor:</t>
  </si>
  <si>
    <t>= GESAMTPROJEKTKOSTEN inkl. OH: 100%</t>
  </si>
  <si>
    <t>Die Auflösung von Reserven ist in der Regel auf Stufe Hochschul-Leitung zu bestimmen.</t>
  </si>
  <si>
    <t>Laufzeit in Monaten</t>
  </si>
  <si>
    <t>Fehlende Eigenleistungen</t>
  </si>
  <si>
    <t>TOTAL GESICHERTE EIGENLEISTUNGEN</t>
  </si>
  <si>
    <t>Auflösung von Reserven (gesichert)</t>
  </si>
  <si>
    <t>Umschichtung aus bestehenden Erträgen (gesichert)</t>
  </si>
  <si>
    <t>Eingeworbene/einzuwerbende Drittmittel (gesichert)</t>
  </si>
  <si>
    <r>
      <rPr>
        <sz val="12"/>
        <color theme="1"/>
        <rFont val="Helvetica"/>
        <family val="2"/>
      </rPr>
      <t xml:space="preserve">Beantragte DIZH Gelder müssen mit mindestens 50% Eigenleistungs-Anteil gedeckt sein. Davon sind 20% fix Overhead --&gt;30% sind selber einzubringen. </t>
    </r>
    <r>
      <rPr>
        <sz val="12"/>
        <color rgb="FF000000"/>
        <rFont val="Helvetica"/>
        <family val="2"/>
      </rPr>
      <t>(siehe Auszug aus Konzept).</t>
    </r>
  </si>
  <si>
    <t>SOZ.LSTG IN %</t>
  </si>
  <si>
    <t>Assistierende (100% Pensum, LK 17/LS03)</t>
  </si>
  <si>
    <r>
      <t xml:space="preserve">Zahlen können in </t>
    </r>
    <r>
      <rPr>
        <b/>
        <i/>
        <sz val="12"/>
        <color theme="1"/>
        <rFont val="Arial"/>
        <family val="2"/>
      </rPr>
      <t>hell orangen</t>
    </r>
    <r>
      <rPr>
        <sz val="12"/>
        <color theme="1"/>
        <rFont val="Arial"/>
        <family val="2"/>
      </rPr>
      <t xml:space="preserve"> Felder eingegeben werden.</t>
    </r>
  </si>
  <si>
    <r>
      <t xml:space="preserve">Zahlen können in </t>
    </r>
    <r>
      <rPr>
        <b/>
        <i/>
        <sz val="12"/>
        <color theme="1"/>
        <rFont val="Arial"/>
        <family val="2"/>
      </rPr>
      <t>hell grünen</t>
    </r>
    <r>
      <rPr>
        <sz val="12"/>
        <color theme="1"/>
        <rFont val="Arial"/>
        <family val="2"/>
      </rPr>
      <t xml:space="preserve"> Felder eingegeben werden.</t>
    </r>
  </si>
  <si>
    <r>
      <t xml:space="preserve">KOMMENTAR </t>
    </r>
    <r>
      <rPr>
        <b/>
        <sz val="8"/>
        <color theme="1"/>
        <rFont val="Arial Black"/>
        <family val="2"/>
      </rPr>
      <t>(können nach belieben überschrieben werden)</t>
    </r>
  </si>
  <si>
    <t xml:space="preserve">GEFORDERTE DIZH GELDER </t>
  </si>
  <si>
    <t>Jahre</t>
  </si>
  <si>
    <t>Teuerungsrate</t>
  </si>
  <si>
    <t>Berechnete Kosten</t>
  </si>
  <si>
    <t>Teuerung in CHF</t>
  </si>
  <si>
    <t>Jahr 1</t>
  </si>
  <si>
    <t>Jahr 2</t>
  </si>
  <si>
    <t>Jahr 3</t>
  </si>
  <si>
    <t>Jahr 4</t>
  </si>
  <si>
    <t>Jahr 5</t>
  </si>
  <si>
    <t>Jahr 6</t>
  </si>
  <si>
    <t>Jahr 7</t>
  </si>
  <si>
    <t>Jahr 8</t>
  </si>
  <si>
    <t>Jahr 9</t>
  </si>
  <si>
    <t>Jahr 10</t>
  </si>
  <si>
    <t>Jahr 11</t>
  </si>
  <si>
    <t>Jahr 12</t>
  </si>
  <si>
    <t>Jahr 13</t>
  </si>
  <si>
    <t>Jahr 14</t>
  </si>
  <si>
    <t>Jahr 15</t>
  </si>
  <si>
    <t>Jahr 16</t>
  </si>
  <si>
    <t>Jahr 17</t>
  </si>
  <si>
    <t>Jahr 18</t>
  </si>
  <si>
    <t>Jahr 19</t>
  </si>
  <si>
    <t>Jahr 20</t>
  </si>
  <si>
    <t>Zukünftiger Wert</t>
  </si>
  <si>
    <t>Beteiligte Hochschulen</t>
  </si>
  <si>
    <t>Berechnetes End-Datum</t>
  </si>
  <si>
    <t>Berechnet in Jahren</t>
  </si>
  <si>
    <t>Laufzeit in Monaten:</t>
  </si>
  <si>
    <t>beteiligte Hochschulen:</t>
  </si>
  <si>
    <t>inkl. Soz.lstg</t>
  </si>
  <si>
    <t>offizielle Kostensätze der Personalkosten der UZH für 2022</t>
  </si>
  <si>
    <t>offizielle Personalkostensätze der ZHAW für das Jahr 2022</t>
  </si>
  <si>
    <t>Wochen</t>
  </si>
  <si>
    <t>offizielle Personal Kostensätze der ZHdK für das Jahr 2022</t>
  </si>
  <si>
    <t>Offizielle Personal Kostensätze der PHZH für das Jahr 2022</t>
  </si>
  <si>
    <t>14 Jahre</t>
  </si>
  <si>
    <t>15 Jahre</t>
  </si>
  <si>
    <t>Ø 2009 - 2022</t>
  </si>
  <si>
    <t>Ø 2009 - 2023</t>
  </si>
  <si>
    <t>RRB-2022-1693</t>
  </si>
  <si>
    <t>RRB-2021-1215</t>
  </si>
  <si>
    <t>TEUERUNG</t>
  </si>
  <si>
    <t>BSP1</t>
  </si>
  <si>
    <t>BSP 2</t>
  </si>
  <si>
    <t>Jahr</t>
  </si>
  <si>
    <t>in &amp;</t>
  </si>
  <si>
    <t>RRB Bezug</t>
  </si>
  <si>
    <t>RRB-2020-1099</t>
  </si>
  <si>
    <t>RRB-2019-0984</t>
  </si>
  <si>
    <t>RRB-2018-0997</t>
  </si>
  <si>
    <t>RRB-2017-1008</t>
  </si>
  <si>
    <t>RRB-2016-1032</t>
  </si>
  <si>
    <t>RRB-2015-1001</t>
  </si>
  <si>
    <t>RRB-2014-1135</t>
  </si>
  <si>
    <t>RRB-2013-1215</t>
  </si>
  <si>
    <t>RRB-2012-1111</t>
  </si>
  <si>
    <t>RRB-2011-1317</t>
  </si>
  <si>
    <t>RRB-2010-1641</t>
  </si>
  <si>
    <t>RRB-2009-1988</t>
  </si>
  <si>
    <t>RRB-2008-1885</t>
  </si>
  <si>
    <t>Offizielle Personal Kostensätze der PHZH für das Jahr 2023</t>
  </si>
  <si>
    <t>offizielle Kostensätze der Personalkosten der UZH für 2023</t>
  </si>
  <si>
    <t>Soz.Lst</t>
  </si>
  <si>
    <t>Das Blatt wurde gesperrt und ist ohne Passwort geschützt und bei Bedarf kann der Blattschutz aufgehoben werden.</t>
  </si>
  <si>
    <t>Zelle 1E:</t>
  </si>
  <si>
    <t>Geplantes Startdatum</t>
  </si>
  <si>
    <t>Zelle 2E:</t>
  </si>
  <si>
    <t>Lohnklasse 10. Lohnstufen 03. CHF 73’263 für einen Jahreslohn mit 100% Pensum (inkl. 14 % Sozialleistungen).</t>
  </si>
  <si>
    <t>Lohnklasse 10. Lohnstufen 03. CHF 84'847 für einen Jahreslohn mit 100% Pensum (inkl. 14 % Sozialleistungen).</t>
  </si>
  <si>
    <t>Gem. UZH Einreihungsrichtlinien: 60% Pensum. Die Jahreslöhne (inkl. 14.5 % Sozialleistungen) sind folgende:</t>
  </si>
  <si>
    <t>--&gt; Das Pensum muss in Spalte E angepasst werden. Meistens: 60%!</t>
  </si>
  <si>
    <t>Doktorierende 2. Jahr -&gt; CHF 92'631  / Bei 60% Pensum: CHF 55'578</t>
  </si>
  <si>
    <t>Doktorierende 3. u. 4. Jahr -&gt; CHF 95'431  / Bei 60% Pensum: CHF 57'296</t>
  </si>
  <si>
    <t>Doktorierende 1. Jahr  -&gt; CHF 89'768  / Bei 60% Pensum: CHF 53'861</t>
  </si>
  <si>
    <t>Post Docs: Lohnklasse 18 mit Lohnstufe 03. Ergibt einen Jahreslohn (inkl. 15 % Sozialleistungen) von CHF 115'276 mit 100% Pensum.</t>
  </si>
  <si>
    <t>Research Assistant: Lohnklasse 17 mit Lohnstufe 03: Jahreslohn (inkl. 15% Sozialleistungen): CHF 108'184 mit 100% Pensum.</t>
  </si>
  <si>
    <t>ATP (undifferenziert): 57 CHF</t>
  </si>
  <si>
    <t>Alle Felder in Spalte A (Zeilen 23 bis 28) können beliebig überschrieben und bezeichnet werden. Bitte möglichst genaue und gut nachvollziehbare Bezeichnungen angeben.</t>
  </si>
  <si>
    <t>INFOS ZU PROJEKT-FINANZIERUNG (ab Zeile 61)</t>
  </si>
  <si>
    <t>zusätzliche Linien: Zeile 17 markieren und mit 'ctrl c' und 'ctrl +'  einfügen</t>
  </si>
  <si>
    <t>Linien einfügen: Zeile 17 (inkl. Dropdown Menu) respektive Zeile 22 (ohne Dropdown Menu) markieren und mit 'ctrl c' und 'ctrl +' eine weitere einfügen</t>
  </si>
  <si>
    <t>Zellen 1K und 2K werden automatisch berechnet</t>
  </si>
  <si>
    <t>Linien einfügen: Zeile 34 (inkl. Dropdown Menu) respektive Zeile 39 (ohne Dropdown Menu) markieren und mit 'ctrl c' und 'ctrl +' eine weitere einfügen</t>
  </si>
  <si>
    <t>Linien einfügen: Zeile 68 (inkl. Dropdown Menu) respektive Zeile 73 (ohne Dropdown Menu) markieren und mit 'ctrl c' und 'ctrl +' eine weitere einfügen</t>
  </si>
  <si>
    <t>Linien einfügen: Zeile 51 (inkl. Dropdown Menu) respektive Zeile 56 (ohne Dropdown Menu) markieren und mit 'ctrl c' und 'ctrl +' eine weitere einfügen</t>
  </si>
  <si>
    <t>--&gt; Alle anderen Felder sind für Eingaben gesperrt.</t>
  </si>
  <si>
    <t>zusätzliche Linien: Zeile 25 markieren und mit 'ctrl c' und 'ctrl +'  einfügen</t>
  </si>
  <si>
    <t>zusätzliche Linien: Zeile 32 markieren und mit 'ctrl c' und 'ctrl +'  einfügen</t>
  </si>
  <si>
    <t>zusätzliche Linien: Zeile 39 markieren und mit 'ctrl c' und 'ctrl +'  einfügen</t>
  </si>
  <si>
    <t>zusätzliche Linien: Zeile 47 markieren und mit 'ctrl c' und 'ctrl +'  einfügen</t>
  </si>
  <si>
    <t>zusätzliche Linien: Zeile 71 markieren und mit 'ctrl c' und 'ctrl +'  einfügen</t>
  </si>
  <si>
    <t>zusätzliche Linien: Zeile 78 markieren und mit 'ctrl c' und 'ctrl +'  einfügen</t>
  </si>
  <si>
    <t>zusätzliche Linien: Zeile 85 markieren und mit 'ctrl c' und 'ctrl +'  einfügen</t>
  </si>
  <si>
    <t>Der Overhead-Zuschlag ist ein fixer kalkulatorischer Aufschlag pro Projekt.</t>
  </si>
  <si>
    <t>Insgesamt fallen in einem Projekt 25% Overhead auf den Primärmitteln an. Dies entspricht 20% von den Gesamtprojektkosten (inklusive Overhead) und ist unabhängig vom Finanzierungssplit.</t>
  </si>
  <si>
    <t>Die Kalkulation des Overheads ist bereits in der Kalkulation fest integriert und wird automatisch richtig berechnet.</t>
  </si>
  <si>
    <t>Das Total wird direkt ins "DIZH Budget Kalkulation" übernommen.</t>
  </si>
  <si>
    <t>Folglich wird im Blatt "DIZH Budget Kalkulation" der ermittelte Wert der Leistungen der involvierten Praxispartner vom Total der direkten Projektkosten subtrahiert.</t>
  </si>
  <si>
    <t>Da jede Hochschule eine unterschiedliche Vorgehensweise kennt, ihre Personalkosten zu kalkulieren, gibt es pro Hochschule eine separate Erläuterung.</t>
  </si>
  <si>
    <t>- Ob ein immaterieller Wert entsteht, hängt von verschiedenen Faktoren ab und dies muss die Finanzabteilung der jeweiligen Hochschule klären.</t>
  </si>
  <si>
    <t>Finanzierungsnachweise der Gesamt-Projektkosten: Aufgeteilt auf DIZH Sonderkredit und einzubringende Eigenleistungen (EL) der Hochschulen (erforderliches Matching Funds).</t>
  </si>
  <si>
    <t>Die Excel-Kalkulation "DIZH Budget Kalkulation" muss zwingend ausgefüllt werden, damit das Projekt-Budget einheitlich mit den gülten Voraussetzungen kalkuliert wird.</t>
  </si>
  <si>
    <t>Die Personalkosten werden über das separate Blatt "Personalkosten" eingegeben. Das Total pro Hochschule wird automatisch ins Blatt "DIZH Budget Kalkulation" übertragen.</t>
  </si>
  <si>
    <t>Bei vielen "Calls" wird eine Vernetzung von DIZH-Partnerhochschulen mit gesellschaftlichen Akteur*innen (Praxispartnern) gefordert.</t>
  </si>
  <si>
    <t>1) Höchstens 20% der Gesamtprojektkosten.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</si>
</sst>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 #\'##0.00_ ;_ * \-#\'##0.00_ ;_ * &quot;-&quot;??_ ;_ @_ "/>
    <numFmt numFmtId="166" formatCode="_-* #\'##0_-;\-* #\'##0_-;_-* &quot;-&quot;??_-;_-@_-"/>
    <numFmt numFmtId="167" formatCode="_ * #,##0.00_ ;_ * \-#,##0.00_ ;_ * &quot;-&quot;??_ ;_ @_ "/>
    <numFmt numFmtId="168" formatCode="_ * #,##0_ ;_ * \-#,##0_ ;_ * &quot;-&quot;??_ ;_ @_ "/>
    <numFmt numFmtId="169" formatCode="_-* #\'##0.0_-;\-* #\'##0.0_-;_-* &quot;-&quot;??_-;_-@_-"/>
    <numFmt numFmtId="170" formatCode="0.0%"/>
    <numFmt numFmtId="171" formatCode="#,##0.00_ ;\-#,##0.00\ "/>
  </numFmts>
  <fonts count="78">
    <font>
      <sz val="12"/>
      <color theme="1"/>
      <name val="Calibri"/>
      <family val="2"/>
      <scheme val="minor"/>
    </font>
    <font>
      <sz val="12"/>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sz val="10"/>
      <color theme="1"/>
      <name val="Tahoma"/>
      <family val="2"/>
    </font>
    <font>
      <b/>
      <sz val="12"/>
      <name val="Helvetica"/>
      <family val="2"/>
    </font>
    <font>
      <b/>
      <sz val="12"/>
      <color theme="1"/>
      <name val="Arial Black"/>
      <family val="2"/>
    </font>
    <font>
      <b/>
      <i/>
      <sz val="10"/>
      <color theme="1"/>
      <name val="Arial"/>
      <family val="2"/>
    </font>
    <font>
      <b/>
      <i/>
      <sz val="12"/>
      <color theme="1"/>
      <name val="Arial"/>
      <family val="2"/>
    </font>
    <font>
      <sz val="8"/>
      <color theme="1"/>
      <name val="Arial"/>
      <family val="2"/>
    </font>
    <font>
      <b/>
      <sz val="12"/>
      <color theme="1"/>
      <name val="Arial"/>
      <family val="2"/>
    </font>
    <font>
      <b/>
      <sz val="8"/>
      <color theme="1"/>
      <name val="Arial"/>
      <family val="2"/>
    </font>
    <font>
      <b/>
      <sz val="10"/>
      <color theme="1"/>
      <name val="Arial"/>
      <family val="2"/>
    </font>
    <font>
      <sz val="10"/>
      <color rgb="FF000000"/>
      <name val="Arial"/>
      <family val="2"/>
    </font>
    <font>
      <sz val="12"/>
      <color theme="1"/>
      <name val="Arial Black"/>
      <family val="2"/>
    </font>
    <font>
      <sz val="10"/>
      <color theme="1"/>
      <name val="Arial Black"/>
      <family val="2"/>
    </font>
    <font>
      <b/>
      <sz val="8"/>
      <color theme="1"/>
      <name val="Arial Black"/>
      <family val="2"/>
    </font>
    <font>
      <b/>
      <sz val="13"/>
      <color theme="1"/>
      <name val="Arial Black"/>
      <family val="2"/>
    </font>
    <font>
      <sz val="13"/>
      <color theme="1"/>
      <name val="Arial Black"/>
      <family val="2"/>
    </font>
    <font>
      <b/>
      <sz val="10"/>
      <color theme="1"/>
      <name val="Arial Black"/>
      <family val="2"/>
    </font>
    <font>
      <sz val="12"/>
      <color rgb="FF333333"/>
      <name val="Arial"/>
      <family val="2"/>
    </font>
    <font>
      <b/>
      <sz val="12"/>
      <color rgb="FF333333"/>
      <name val="Arial"/>
      <family val="2"/>
    </font>
    <font>
      <sz val="8"/>
      <name val="Calibri"/>
      <family val="2"/>
      <scheme val="minor"/>
    </font>
    <font>
      <sz val="16"/>
      <color theme="1"/>
      <name val="Arial Black"/>
      <family val="2"/>
    </font>
    <font>
      <b/>
      <sz val="12"/>
      <color theme="1"/>
      <name val="Calibri"/>
      <family val="2"/>
      <scheme val="minor"/>
    </font>
    <font>
      <b/>
      <sz val="12"/>
      <color rgb="FF333333"/>
      <name val="Arial Black"/>
      <family val="2"/>
    </font>
    <font>
      <sz val="12"/>
      <name val="Arial"/>
      <family val="2"/>
    </font>
    <font>
      <b/>
      <sz val="10"/>
      <name val="Arial"/>
      <family val="2"/>
    </font>
    <font>
      <b/>
      <sz val="10"/>
      <name val="HelveticaNeueLT Com 55 Roman"/>
    </font>
    <font>
      <b/>
      <i/>
      <sz val="10"/>
      <name val="Arial"/>
      <family val="2"/>
    </font>
    <font>
      <b/>
      <sz val="10"/>
      <name val="Arial Black"/>
      <family val="2"/>
    </font>
  </fonts>
  <fills count="1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s>
  <borders count="65">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medium">
        <color rgb="FFCCCCCC"/>
      </left>
      <right style="medium">
        <color rgb="FFCCCCCC"/>
      </right>
      <top/>
      <bottom style="medium">
        <color rgb="FFCCCCCC"/>
      </bottom>
      <diagonal/>
    </border>
    <border>
      <left style="thin">
        <color auto="1"/>
      </left>
      <right/>
      <top style="dashed">
        <color auto="1"/>
      </top>
      <bottom style="thin">
        <color auto="1"/>
      </bottom>
      <diagonal/>
    </border>
    <border>
      <left style="dashed">
        <color auto="1"/>
      </left>
      <right style="dashed">
        <color auto="1"/>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diagonal/>
    </border>
    <border>
      <left style="dashed">
        <color auto="1"/>
      </left>
      <right style="thin">
        <color auto="1"/>
      </right>
      <top/>
      <bottom style="dashed">
        <color auto="1"/>
      </bottom>
      <diagonal/>
    </border>
    <border>
      <left style="thin">
        <color auto="1"/>
      </left>
      <right style="thin">
        <color auto="1"/>
      </right>
      <top/>
      <bottom style="dashed">
        <color auto="1"/>
      </bottom>
      <diagonal/>
    </border>
    <border>
      <left style="dashed">
        <color auto="1"/>
      </left>
      <right style="thin">
        <color auto="1"/>
      </right>
      <top/>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15" fillId="0" borderId="0" applyNumberFormat="0" applyFill="0" applyBorder="0" applyAlignment="0" applyProtection="0"/>
    <xf numFmtId="0" fontId="16" fillId="0" borderId="0"/>
    <xf numFmtId="167" fontId="16" fillId="0" borderId="0" applyFont="0" applyFill="0" applyBorder="0" applyAlignment="0" applyProtection="0"/>
    <xf numFmtId="0" fontId="51" fillId="0" borderId="0"/>
  </cellStyleXfs>
  <cellXfs count="343">
    <xf numFmtId="0" fontId="0" fillId="0" borderId="0" xfId="0"/>
    <xf numFmtId="0" fontId="7" fillId="0" borderId="0" xfId="4"/>
    <xf numFmtId="0" fontId="7" fillId="0" borderId="9" xfId="4" applyBorder="1"/>
    <xf numFmtId="0" fontId="7" fillId="0" borderId="8" xfId="4" applyBorder="1"/>
    <xf numFmtId="0" fontId="8" fillId="0" borderId="0" xfId="4" applyFont="1"/>
    <xf numFmtId="0" fontId="10" fillId="0" borderId="9" xfId="4" applyFont="1" applyBorder="1"/>
    <xf numFmtId="0" fontId="10" fillId="0" borderId="9" xfId="4" applyFont="1" applyBorder="1" applyAlignment="1">
      <alignment horizontal="left"/>
    </xf>
    <xf numFmtId="0" fontId="10" fillId="0" borderId="0" xfId="4" applyFont="1"/>
    <xf numFmtId="0" fontId="10" fillId="0" borderId="0" xfId="4" applyFont="1" applyAlignment="1">
      <alignment horizontal="left"/>
    </xf>
    <xf numFmtId="0" fontId="10" fillId="0" borderId="5" xfId="4" applyFont="1" applyBorder="1"/>
    <xf numFmtId="0" fontId="9" fillId="0" borderId="5" xfId="4" applyFont="1" applyBorder="1" applyAlignment="1">
      <alignment horizontal="left"/>
    </xf>
    <xf numFmtId="0" fontId="9" fillId="0" borderId="0" xfId="4" applyFont="1"/>
    <xf numFmtId="0" fontId="9" fillId="0" borderId="0" xfId="4" applyFont="1" applyAlignment="1">
      <alignment horizontal="right" indent="5"/>
    </xf>
    <xf numFmtId="0" fontId="9" fillId="0" borderId="0" xfId="4" applyFont="1" applyAlignment="1">
      <alignment horizontal="center"/>
    </xf>
    <xf numFmtId="3" fontId="9" fillId="0" borderId="0" xfId="4" applyNumberFormat="1" applyFont="1" applyAlignment="1">
      <alignment horizontal="right" indent="4"/>
    </xf>
    <xf numFmtId="3" fontId="9" fillId="0" borderId="0" xfId="4" applyNumberFormat="1" applyFont="1" applyAlignment="1">
      <alignment horizontal="right" indent="3"/>
    </xf>
    <xf numFmtId="0" fontId="7" fillId="0" borderId="0" xfId="4" applyAlignment="1">
      <alignment horizontal="right" indent="3"/>
    </xf>
    <xf numFmtId="0" fontId="9" fillId="0" borderId="5" xfId="4" applyFont="1" applyBorder="1"/>
    <xf numFmtId="0" fontId="9" fillId="0" borderId="5" xfId="4" applyFont="1" applyBorder="1" applyAlignment="1">
      <alignment horizontal="right" indent="5"/>
    </xf>
    <xf numFmtId="0" fontId="9" fillId="0" borderId="5" xfId="4" applyFont="1" applyBorder="1" applyAlignment="1">
      <alignment horizontal="center"/>
    </xf>
    <xf numFmtId="3" fontId="9" fillId="0" borderId="5" xfId="4" applyNumberFormat="1" applyFont="1" applyBorder="1" applyAlignment="1">
      <alignment horizontal="right" indent="4"/>
    </xf>
    <xf numFmtId="3" fontId="9" fillId="0" borderId="5" xfId="4" applyNumberFormat="1" applyFont="1" applyBorder="1" applyAlignment="1">
      <alignment horizontal="right" indent="3"/>
    </xf>
    <xf numFmtId="0" fontId="7" fillId="0" borderId="5" xfId="4" applyBorder="1" applyAlignment="1">
      <alignment horizontal="right" indent="3"/>
    </xf>
    <xf numFmtId="0" fontId="11" fillId="0" borderId="10" xfId="4" applyFont="1" applyBorder="1"/>
    <xf numFmtId="0" fontId="11" fillId="0" borderId="9" xfId="4" applyFont="1" applyBorder="1"/>
    <xf numFmtId="0" fontId="11" fillId="0" borderId="9" xfId="4" applyFont="1" applyBorder="1" applyAlignment="1">
      <alignment horizontal="left"/>
    </xf>
    <xf numFmtId="0" fontId="7" fillId="0" borderId="11" xfId="4" applyBorder="1"/>
    <xf numFmtId="0" fontId="11" fillId="0" borderId="2" xfId="4" quotePrefix="1" applyFont="1" applyBorder="1"/>
    <xf numFmtId="0" fontId="11" fillId="0" borderId="0" xfId="4" quotePrefix="1" applyFont="1"/>
    <xf numFmtId="0" fontId="11" fillId="0" borderId="0" xfId="4" applyFont="1" applyAlignment="1">
      <alignment horizontal="left"/>
    </xf>
    <xf numFmtId="0" fontId="7" fillId="0" borderId="12" xfId="4" applyBorder="1"/>
    <xf numFmtId="0" fontId="11" fillId="0" borderId="13" xfId="4" quotePrefix="1" applyFont="1" applyBorder="1"/>
    <xf numFmtId="0" fontId="11" fillId="0" borderId="5" xfId="4" quotePrefix="1" applyFont="1" applyBorder="1"/>
    <xf numFmtId="0" fontId="11" fillId="0" borderId="5" xfId="4" applyFont="1" applyBorder="1" applyAlignment="1">
      <alignment horizontal="left"/>
    </xf>
    <xf numFmtId="0" fontId="7" fillId="0" borderId="5" xfId="4" applyBorder="1"/>
    <xf numFmtId="0" fontId="7" fillId="0" borderId="4" xfId="4" applyBorder="1"/>
    <xf numFmtId="0" fontId="11" fillId="0" borderId="0" xfId="4" applyFont="1"/>
    <xf numFmtId="0" fontId="11" fillId="0" borderId="14" xfId="4" applyFont="1" applyBorder="1"/>
    <xf numFmtId="0" fontId="11" fillId="0" borderId="8" xfId="4" applyFont="1" applyBorder="1"/>
    <xf numFmtId="0" fontId="11" fillId="0" borderId="8" xfId="4" applyFont="1" applyBorder="1" applyAlignment="1">
      <alignment horizontal="left"/>
    </xf>
    <xf numFmtId="0" fontId="7" fillId="0" borderId="6" xfId="4" applyBorder="1"/>
    <xf numFmtId="0" fontId="17" fillId="0" borderId="0" xfId="9" applyFont="1" applyAlignment="1">
      <alignment vertical="center"/>
    </xf>
    <xf numFmtId="0" fontId="16" fillId="0" borderId="0" xfId="9" applyAlignment="1">
      <alignment vertical="center"/>
    </xf>
    <xf numFmtId="0" fontId="16" fillId="0" borderId="0" xfId="9" applyAlignment="1">
      <alignment horizontal="right" vertical="center"/>
    </xf>
    <xf numFmtId="0" fontId="18"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6" fillId="0" borderId="0" xfId="9"/>
    <xf numFmtId="168" fontId="0" fillId="0" borderId="0" xfId="10" applyNumberFormat="1" applyFont="1"/>
    <xf numFmtId="0" fontId="16" fillId="0" borderId="0" xfId="9" quotePrefix="1"/>
    <xf numFmtId="168" fontId="20" fillId="0" borderId="0" xfId="10" applyNumberFormat="1" applyFont="1"/>
    <xf numFmtId="0" fontId="20" fillId="0" borderId="0" xfId="9" applyFont="1"/>
    <xf numFmtId="0" fontId="21" fillId="8" borderId="17" xfId="9" applyFont="1" applyFill="1" applyBorder="1" applyAlignment="1">
      <alignment vertical="center" wrapText="1"/>
    </xf>
    <xf numFmtId="0" fontId="22" fillId="8" borderId="18" xfId="9" applyFont="1" applyFill="1" applyBorder="1" applyAlignment="1">
      <alignment horizontal="left" vertical="center" wrapText="1"/>
    </xf>
    <xf numFmtId="168" fontId="21" fillId="8" borderId="19" xfId="10" applyNumberFormat="1" applyFont="1" applyFill="1" applyBorder="1" applyAlignment="1">
      <alignment horizontal="right" vertical="center" wrapText="1"/>
    </xf>
    <xf numFmtId="168" fontId="21" fillId="8" borderId="20" xfId="10" applyNumberFormat="1" applyFont="1" applyFill="1" applyBorder="1" applyAlignment="1">
      <alignment horizontal="right" vertical="center" wrapText="1"/>
    </xf>
    <xf numFmtId="168" fontId="21" fillId="8" borderId="21" xfId="10" applyNumberFormat="1" applyFont="1" applyFill="1" applyBorder="1" applyAlignment="1">
      <alignment horizontal="right" vertical="center" wrapText="1"/>
    </xf>
    <xf numFmtId="0" fontId="21" fillId="0" borderId="0" xfId="9" applyFont="1"/>
    <xf numFmtId="0" fontId="23" fillId="0" borderId="13" xfId="9" applyFont="1" applyBorder="1" applyAlignment="1">
      <alignment vertical="center"/>
    </xf>
    <xf numFmtId="168" fontId="23" fillId="0" borderId="23" xfId="10" applyNumberFormat="1" applyFont="1" applyBorder="1" applyAlignment="1">
      <alignment vertical="center"/>
    </xf>
    <xf numFmtId="168" fontId="25" fillId="9" borderId="24" xfId="10" applyNumberFormat="1" applyFont="1" applyFill="1" applyBorder="1" applyAlignment="1">
      <alignment vertical="center"/>
    </xf>
    <xf numFmtId="168" fontId="23" fillId="0" borderId="25" xfId="10" applyNumberFormat="1" applyFont="1" applyBorder="1" applyAlignment="1">
      <alignment vertical="center"/>
    </xf>
    <xf numFmtId="0" fontId="23" fillId="0" borderId="0" xfId="9" applyFont="1" applyAlignment="1">
      <alignment vertical="center"/>
    </xf>
    <xf numFmtId="0" fontId="26" fillId="0" borderId="27" xfId="9" applyFont="1" applyBorder="1" applyAlignment="1">
      <alignment vertical="center"/>
    </xf>
    <xf numFmtId="168" fontId="26" fillId="0" borderId="28" xfId="10" applyNumberFormat="1" applyFont="1" applyBorder="1" applyAlignment="1">
      <alignment vertical="center"/>
    </xf>
    <xf numFmtId="168" fontId="28" fillId="9" borderId="29" xfId="10" applyNumberFormat="1" applyFont="1" applyFill="1" applyBorder="1" applyAlignment="1">
      <alignment vertical="center"/>
    </xf>
    <xf numFmtId="168" fontId="26" fillId="0" borderId="30" xfId="10" applyNumberFormat="1" applyFont="1" applyBorder="1" applyAlignment="1">
      <alignment vertical="center"/>
    </xf>
    <xf numFmtId="168" fontId="23" fillId="0" borderId="23" xfId="10" applyNumberFormat="1" applyFont="1" applyFill="1" applyBorder="1" applyAlignment="1">
      <alignment vertical="center"/>
    </xf>
    <xf numFmtId="168" fontId="23" fillId="0" borderId="25" xfId="10" applyNumberFormat="1" applyFont="1" applyFill="1" applyBorder="1" applyAlignment="1">
      <alignment vertical="center"/>
    </xf>
    <xf numFmtId="168" fontId="26" fillId="0" borderId="28" xfId="10" applyNumberFormat="1" applyFont="1" applyFill="1" applyBorder="1" applyAlignment="1">
      <alignment vertical="center"/>
    </xf>
    <xf numFmtId="168" fontId="26" fillId="0" borderId="30" xfId="10" applyNumberFormat="1" applyFont="1" applyFill="1" applyBorder="1" applyAlignment="1">
      <alignment vertical="center"/>
    </xf>
    <xf numFmtId="168" fontId="25" fillId="9" borderId="32" xfId="10" applyNumberFormat="1" applyFont="1" applyFill="1" applyBorder="1" applyAlignment="1">
      <alignment vertical="center"/>
    </xf>
    <xf numFmtId="168" fontId="23" fillId="0" borderId="33" xfId="10" applyNumberFormat="1" applyFont="1" applyBorder="1" applyAlignment="1">
      <alignment vertical="center"/>
    </xf>
    <xf numFmtId="168" fontId="23" fillId="10" borderId="34" xfId="10" applyNumberFormat="1" applyFont="1" applyFill="1" applyBorder="1" applyAlignment="1">
      <alignment vertical="center"/>
    </xf>
    <xf numFmtId="168" fontId="28" fillId="9" borderId="35" xfId="10" applyNumberFormat="1" applyFont="1" applyFill="1" applyBorder="1" applyAlignment="1">
      <alignment vertical="center"/>
    </xf>
    <xf numFmtId="168" fontId="26" fillId="0" borderId="36" xfId="10" applyNumberFormat="1" applyFont="1" applyBorder="1" applyAlignment="1">
      <alignment vertical="center"/>
    </xf>
    <xf numFmtId="168" fontId="26" fillId="10" borderId="37" xfId="10" applyNumberFormat="1" applyFont="1" applyFill="1" applyBorder="1" applyAlignment="1">
      <alignment vertical="center"/>
    </xf>
    <xf numFmtId="168" fontId="21" fillId="8" borderId="38" xfId="10" applyNumberFormat="1" applyFont="1" applyFill="1" applyBorder="1" applyAlignment="1">
      <alignment horizontal="right" vertical="center" wrapText="1"/>
    </xf>
    <xf numFmtId="168" fontId="25" fillId="9" borderId="39" xfId="10" applyNumberFormat="1" applyFont="1" applyFill="1" applyBorder="1" applyAlignment="1">
      <alignment vertical="center"/>
    </xf>
    <xf numFmtId="168" fontId="28" fillId="9" borderId="40" xfId="10" applyNumberFormat="1" applyFont="1" applyFill="1" applyBorder="1" applyAlignment="1">
      <alignment vertical="center"/>
    </xf>
    <xf numFmtId="168" fontId="18" fillId="0" borderId="0" xfId="10" applyNumberFormat="1" applyFont="1" applyAlignment="1">
      <alignment vertical="center"/>
    </xf>
    <xf numFmtId="0" fontId="16" fillId="0" borderId="0" xfId="9" quotePrefix="1" applyAlignment="1">
      <alignment horizontal="left" vertical="center" indent="1"/>
    </xf>
    <xf numFmtId="0" fontId="9" fillId="11" borderId="0" xfId="4" applyFont="1" applyFill="1" applyAlignment="1">
      <alignment horizontal="center"/>
    </xf>
    <xf numFmtId="0" fontId="9" fillId="11" borderId="5" xfId="4" applyFont="1" applyFill="1" applyBorder="1" applyAlignment="1">
      <alignment horizontal="center"/>
    </xf>
    <xf numFmtId="0" fontId="32" fillId="0" borderId="0" xfId="0" applyFont="1"/>
    <xf numFmtId="0" fontId="33" fillId="0" borderId="0" xfId="4" applyFont="1"/>
    <xf numFmtId="0" fontId="33" fillId="0" borderId="7" xfId="4" applyFont="1" applyBorder="1"/>
    <xf numFmtId="0" fontId="34" fillId="7" borderId="0" xfId="0" applyFont="1" applyFill="1"/>
    <xf numFmtId="0" fontId="34" fillId="0" borderId="0" xfId="0" applyFont="1"/>
    <xf numFmtId="0" fontId="35" fillId="0" borderId="0" xfId="0" applyFont="1"/>
    <xf numFmtId="0" fontId="35" fillId="7" borderId="0" xfId="0" applyFont="1" applyFill="1"/>
    <xf numFmtId="0" fontId="37" fillId="0" borderId="0" xfId="0" applyFont="1"/>
    <xf numFmtId="0" fontId="38" fillId="0" borderId="0" xfId="0" applyFont="1"/>
    <xf numFmtId="0" fontId="39" fillId="0" borderId="0" xfId="0" applyFont="1" applyAlignment="1">
      <alignment horizontal="left" vertical="center" readingOrder="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0" fillId="0" borderId="0" xfId="0" quotePrefix="1" applyFont="1" applyAlignment="1">
      <alignment horizontal="left" vertical="center" readingOrder="1"/>
    </xf>
    <xf numFmtId="0" fontId="44" fillId="0" borderId="0" xfId="4" applyFont="1"/>
    <xf numFmtId="0" fontId="45" fillId="6" borderId="15" xfId="0" applyFont="1" applyFill="1" applyBorder="1" applyAlignment="1">
      <alignment vertical="center" wrapText="1"/>
    </xf>
    <xf numFmtId="0" fontId="45" fillId="6" borderId="15" xfId="0" applyFont="1" applyFill="1" applyBorder="1" applyAlignment="1">
      <alignment horizontal="right" vertical="center" wrapText="1"/>
    </xf>
    <xf numFmtId="0" fontId="44" fillId="0" borderId="0" xfId="0" applyFont="1" applyAlignment="1">
      <alignment vertical="center" wrapText="1"/>
    </xf>
    <xf numFmtId="0" fontId="34" fillId="3" borderId="15" xfId="0" applyFont="1" applyFill="1" applyBorder="1" applyProtection="1">
      <protection locked="0"/>
    </xf>
    <xf numFmtId="0" fontId="34" fillId="5" borderId="15" xfId="0" applyFont="1" applyFill="1" applyBorder="1" applyProtection="1">
      <protection locked="0"/>
    </xf>
    <xf numFmtId="9" fontId="34" fillId="3" borderId="15" xfId="0" applyNumberFormat="1" applyFont="1" applyFill="1" applyBorder="1" applyProtection="1">
      <protection locked="0"/>
    </xf>
    <xf numFmtId="166" fontId="34" fillId="6" borderId="15" xfId="1" applyNumberFormat="1" applyFont="1" applyFill="1" applyBorder="1" applyProtection="1"/>
    <xf numFmtId="166" fontId="34" fillId="2" borderId="15" xfId="1" applyNumberFormat="1" applyFont="1" applyFill="1" applyBorder="1"/>
    <xf numFmtId="0" fontId="34" fillId="3" borderId="16" xfId="0" applyFont="1" applyFill="1" applyBorder="1" applyProtection="1">
      <protection locked="0"/>
    </xf>
    <xf numFmtId="0" fontId="44" fillId="0" borderId="0" xfId="0" applyFont="1"/>
    <xf numFmtId="164" fontId="34" fillId="6" borderId="15" xfId="1" applyNumberFormat="1" applyFont="1" applyFill="1" applyBorder="1" applyProtection="1"/>
    <xf numFmtId="164" fontId="34" fillId="3" borderId="15" xfId="1" applyNumberFormat="1" applyFont="1" applyFill="1" applyBorder="1" applyProtection="1">
      <protection locked="0"/>
    </xf>
    <xf numFmtId="0" fontId="34" fillId="6" borderId="15" xfId="0" applyFont="1" applyFill="1" applyBorder="1" applyProtection="1">
      <protection locked="0"/>
    </xf>
    <xf numFmtId="0" fontId="34" fillId="6" borderId="0" xfId="0" applyFont="1" applyFill="1"/>
    <xf numFmtId="0" fontId="37" fillId="6" borderId="0" xfId="0" applyFont="1" applyFill="1"/>
    <xf numFmtId="0" fontId="34" fillId="0" borderId="0" xfId="0" applyFont="1" applyAlignment="1">
      <alignment vertical="center" readingOrder="1"/>
    </xf>
    <xf numFmtId="0" fontId="34" fillId="0" borderId="0" xfId="0" applyFont="1" applyAlignment="1">
      <alignment horizontal="left" vertical="center" readingOrder="1"/>
    </xf>
    <xf numFmtId="0" fontId="40" fillId="6" borderId="0" xfId="0" applyFont="1" applyFill="1" applyAlignment="1">
      <alignment horizontal="left" vertical="center" readingOrder="1"/>
    </xf>
    <xf numFmtId="0" fontId="15" fillId="0" borderId="0" xfId="8"/>
    <xf numFmtId="166" fontId="34" fillId="3" borderId="15" xfId="1" applyNumberFormat="1" applyFont="1" applyFill="1" applyBorder="1" applyProtection="1">
      <protection locked="0"/>
    </xf>
    <xf numFmtId="0" fontId="48" fillId="0" borderId="0" xfId="0" applyFont="1" applyAlignment="1">
      <alignment horizontal="left" vertical="center" readingOrder="1"/>
    </xf>
    <xf numFmtId="0" fontId="34" fillId="0" borderId="0" xfId="0" quotePrefix="1" applyFont="1"/>
    <xf numFmtId="0" fontId="36" fillId="0" borderId="0" xfId="8" applyFont="1" applyFill="1" applyBorder="1" applyAlignment="1">
      <alignment horizontal="left"/>
    </xf>
    <xf numFmtId="0" fontId="43" fillId="0" borderId="0" xfId="4" applyFont="1"/>
    <xf numFmtId="0" fontId="34" fillId="0" borderId="0" xfId="4" applyFont="1"/>
    <xf numFmtId="0" fontId="35" fillId="0" borderId="0" xfId="4" applyFont="1"/>
    <xf numFmtId="0" fontId="49" fillId="0" borderId="9" xfId="4" applyFont="1" applyBorder="1"/>
    <xf numFmtId="0" fontId="49" fillId="0" borderId="0" xfId="4" applyFont="1"/>
    <xf numFmtId="0" fontId="46" fillId="0" borderId="0" xfId="4" applyFont="1"/>
    <xf numFmtId="169" fontId="43" fillId="0" borderId="0" xfId="1" applyNumberFormat="1" applyFont="1"/>
    <xf numFmtId="9" fontId="9" fillId="0" borderId="0" xfId="2" applyFont="1" applyBorder="1"/>
    <xf numFmtId="0" fontId="50" fillId="0" borderId="0" xfId="0" applyFont="1" applyAlignment="1">
      <alignment horizontal="left" vertical="center" readingOrder="1"/>
    </xf>
    <xf numFmtId="0" fontId="41" fillId="0" borderId="0" xfId="0" applyFont="1" applyAlignment="1">
      <alignment readingOrder="1"/>
    </xf>
    <xf numFmtId="0" fontId="40" fillId="0" borderId="0" xfId="0" applyFont="1" applyAlignment="1">
      <alignment horizontal="left" readingOrder="1"/>
    </xf>
    <xf numFmtId="0" fontId="44" fillId="5" borderId="15" xfId="0" applyFont="1" applyFill="1" applyBorder="1" applyProtection="1">
      <protection locked="0"/>
    </xf>
    <xf numFmtId="0" fontId="43" fillId="0" borderId="5" xfId="4" applyFont="1" applyBorder="1"/>
    <xf numFmtId="9" fontId="9" fillId="0" borderId="5" xfId="2" applyFont="1" applyBorder="1"/>
    <xf numFmtId="0" fontId="42" fillId="0" borderId="0" xfId="0" applyFont="1"/>
    <xf numFmtId="0" fontId="34" fillId="0" borderId="0" xfId="4" applyFont="1" applyAlignment="1">
      <alignment horizontal="right" indent="3"/>
    </xf>
    <xf numFmtId="0" fontId="52" fillId="0" borderId="9" xfId="4" applyFont="1" applyBorder="1"/>
    <xf numFmtId="0" fontId="52" fillId="0" borderId="0" xfId="4" applyFont="1" applyAlignment="1">
      <alignment horizontal="left"/>
    </xf>
    <xf numFmtId="0" fontId="52" fillId="0" borderId="0" xfId="4" applyFont="1"/>
    <xf numFmtId="0" fontId="38" fillId="0" borderId="0" xfId="4" applyFont="1" applyAlignment="1">
      <alignment horizontal="left"/>
    </xf>
    <xf numFmtId="0" fontId="38" fillId="0" borderId="0" xfId="4" applyFont="1"/>
    <xf numFmtId="3" fontId="38" fillId="0" borderId="0" xfId="4" applyNumberFormat="1" applyFont="1" applyAlignment="1">
      <alignment horizontal="right" indent="4"/>
    </xf>
    <xf numFmtId="0" fontId="38" fillId="0" borderId="9" xfId="4" applyFont="1" applyBorder="1"/>
    <xf numFmtId="9" fontId="38" fillId="0" borderId="0" xfId="2" applyFont="1" applyBorder="1"/>
    <xf numFmtId="169" fontId="34" fillId="0" borderId="0" xfId="1" applyNumberFormat="1" applyFont="1"/>
    <xf numFmtId="9" fontId="38" fillId="0" borderId="0" xfId="2" applyFont="1" applyAlignment="1">
      <alignment horizontal="right" indent="4"/>
    </xf>
    <xf numFmtId="3" fontId="34" fillId="14" borderId="41" xfId="11" applyNumberFormat="1" applyFont="1" applyFill="1" applyBorder="1" applyAlignment="1">
      <alignment horizontal="right" vertical="top"/>
    </xf>
    <xf numFmtId="170" fontId="38" fillId="0" borderId="0" xfId="2" applyNumberFormat="1" applyFont="1" applyAlignment="1">
      <alignment horizontal="right" indent="4"/>
    </xf>
    <xf numFmtId="0" fontId="38" fillId="0" borderId="5" xfId="4" applyFont="1" applyBorder="1"/>
    <xf numFmtId="3" fontId="34" fillId="0" borderId="41" xfId="11" applyNumberFormat="1" applyFont="1" applyBorder="1" applyAlignment="1">
      <alignment horizontal="right" vertical="top"/>
    </xf>
    <xf numFmtId="9" fontId="34" fillId="0" borderId="0" xfId="4" applyNumberFormat="1" applyFont="1"/>
    <xf numFmtId="0" fontId="23" fillId="0" borderId="0" xfId="0" applyFont="1"/>
    <xf numFmtId="164" fontId="23" fillId="0" borderId="0" xfId="1" applyNumberFormat="1" applyFont="1"/>
    <xf numFmtId="0" fontId="16" fillId="0" borderId="0" xfId="0" applyFont="1"/>
    <xf numFmtId="0" fontId="23" fillId="3" borderId="0" xfId="0" applyFont="1" applyFill="1" applyAlignment="1">
      <alignment vertical="center"/>
    </xf>
    <xf numFmtId="164" fontId="23" fillId="3" borderId="0" xfId="1" applyNumberFormat="1" applyFont="1" applyFill="1"/>
    <xf numFmtId="0" fontId="23" fillId="9" borderId="0" xfId="0" applyFont="1" applyFill="1" applyAlignment="1">
      <alignment vertical="center"/>
    </xf>
    <xf numFmtId="164" fontId="23" fillId="9" borderId="0" xfId="1" applyNumberFormat="1" applyFont="1" applyFill="1"/>
    <xf numFmtId="164" fontId="23" fillId="9" borderId="0" xfId="1" applyNumberFormat="1" applyFont="1" applyFill="1" applyAlignment="1">
      <alignment horizontal="center"/>
    </xf>
    <xf numFmtId="0" fontId="16" fillId="0" borderId="0" xfId="0" applyFont="1" applyAlignment="1">
      <alignment horizontal="center" textRotation="90"/>
    </xf>
    <xf numFmtId="0" fontId="23" fillId="0" borderId="0" xfId="0" quotePrefix="1" applyFont="1"/>
    <xf numFmtId="0" fontId="57" fillId="0" borderId="0" xfId="0" applyFont="1" applyAlignment="1">
      <alignment vertical="center"/>
    </xf>
    <xf numFmtId="0" fontId="23" fillId="2" borderId="0" xfId="0" applyFont="1" applyFill="1"/>
    <xf numFmtId="0" fontId="57" fillId="0" borderId="0" xfId="0" applyFont="1"/>
    <xf numFmtId="164" fontId="57" fillId="2" borderId="0" xfId="1" applyNumberFormat="1" applyFont="1" applyFill="1" applyBorder="1"/>
    <xf numFmtId="0" fontId="58" fillId="0" borderId="0" xfId="0" applyFont="1"/>
    <xf numFmtId="164" fontId="23" fillId="0" borderId="0" xfId="1" applyNumberFormat="1" applyFont="1" applyAlignment="1">
      <alignment horizontal="center"/>
    </xf>
    <xf numFmtId="164" fontId="23" fillId="2" borderId="0" xfId="1" applyNumberFormat="1" applyFont="1" applyFill="1"/>
    <xf numFmtId="164" fontId="23" fillId="0" borderId="0" xfId="1" applyNumberFormat="1" applyFont="1" applyFill="1"/>
    <xf numFmtId="9" fontId="23" fillId="0" borderId="0" xfId="2" applyFont="1" applyFill="1" applyAlignment="1">
      <alignment horizontal="center"/>
    </xf>
    <xf numFmtId="0" fontId="56" fillId="3" borderId="1" xfId="0" applyFont="1" applyFill="1" applyBorder="1" applyProtection="1">
      <protection locked="0"/>
    </xf>
    <xf numFmtId="164" fontId="56" fillId="2" borderId="1" xfId="1" applyNumberFormat="1" applyFont="1" applyFill="1" applyBorder="1" applyProtection="1"/>
    <xf numFmtId="0" fontId="56" fillId="0" borderId="0" xfId="0" applyFont="1"/>
    <xf numFmtId="164" fontId="56" fillId="3" borderId="1" xfId="1" applyNumberFormat="1" applyFont="1" applyFill="1" applyBorder="1" applyProtection="1">
      <protection locked="0"/>
    </xf>
    <xf numFmtId="0" fontId="58" fillId="12" borderId="1" xfId="0" applyFont="1" applyFill="1" applyBorder="1"/>
    <xf numFmtId="164" fontId="58" fillId="12" borderId="1" xfId="1" applyNumberFormat="1" applyFont="1" applyFill="1" applyBorder="1" applyProtection="1"/>
    <xf numFmtId="0" fontId="56" fillId="9" borderId="1" xfId="0" applyFont="1" applyFill="1" applyBorder="1" applyProtection="1">
      <protection locked="0"/>
    </xf>
    <xf numFmtId="164" fontId="56" fillId="9" borderId="1" xfId="1" applyNumberFormat="1" applyFont="1" applyFill="1" applyBorder="1" applyProtection="1">
      <protection locked="0"/>
    </xf>
    <xf numFmtId="0" fontId="58" fillId="13" borderId="1" xfId="0" applyFont="1" applyFill="1" applyBorder="1"/>
    <xf numFmtId="164" fontId="58" fillId="13" borderId="1" xfId="1" applyNumberFormat="1" applyFont="1" applyFill="1" applyBorder="1" applyProtection="1"/>
    <xf numFmtId="0" fontId="61" fillId="0" borderId="0" xfId="0" applyFont="1"/>
    <xf numFmtId="0" fontId="53" fillId="0" borderId="0" xfId="0" applyFont="1"/>
    <xf numFmtId="0" fontId="53" fillId="2" borderId="0" xfId="0" applyFont="1" applyFill="1"/>
    <xf numFmtId="0" fontId="63" fillId="2" borderId="0" xfId="0" applyFont="1" applyFill="1"/>
    <xf numFmtId="0" fontId="59" fillId="2" borderId="0" xfId="0" applyFont="1" applyFill="1"/>
    <xf numFmtId="9" fontId="57" fillId="2" borderId="0" xfId="2" applyFont="1" applyFill="1" applyBorder="1" applyAlignment="1">
      <alignment horizontal="center"/>
    </xf>
    <xf numFmtId="164" fontId="23" fillId="0" borderId="0" xfId="1" applyNumberFormat="1" applyFont="1" applyBorder="1"/>
    <xf numFmtId="164" fontId="23" fillId="0" borderId="0" xfId="1" applyNumberFormat="1" applyFont="1" applyBorder="1" applyAlignment="1">
      <alignment horizontal="center"/>
    </xf>
    <xf numFmtId="0" fontId="64" fillId="4" borderId="0" xfId="0" applyFont="1" applyFill="1"/>
    <xf numFmtId="164" fontId="64" fillId="4" borderId="0" xfId="1" applyNumberFormat="1" applyFont="1" applyFill="1" applyBorder="1"/>
    <xf numFmtId="9" fontId="64" fillId="4" borderId="0" xfId="2" applyFont="1" applyFill="1" applyBorder="1" applyAlignment="1">
      <alignment horizontal="center"/>
    </xf>
    <xf numFmtId="0" fontId="65" fillId="0" borderId="0" xfId="0" applyFont="1"/>
    <xf numFmtId="0" fontId="64" fillId="2" borderId="0" xfId="0" applyFont="1" applyFill="1"/>
    <xf numFmtId="0" fontId="64" fillId="0" borderId="0" xfId="0" applyFont="1"/>
    <xf numFmtId="164" fontId="23" fillId="2" borderId="0" xfId="1" applyNumberFormat="1" applyFont="1" applyFill="1" applyBorder="1"/>
    <xf numFmtId="9" fontId="23" fillId="2" borderId="0" xfId="2" applyFont="1" applyFill="1" applyBorder="1" applyAlignment="1">
      <alignment horizontal="center"/>
    </xf>
    <xf numFmtId="0" fontId="16" fillId="2" borderId="0" xfId="0" applyFont="1" applyFill="1"/>
    <xf numFmtId="9" fontId="59" fillId="2" borderId="0" xfId="2" applyFont="1" applyFill="1" applyBorder="1" applyAlignment="1">
      <alignment horizontal="center"/>
    </xf>
    <xf numFmtId="164" fontId="53" fillId="2" borderId="0" xfId="1" applyNumberFormat="1" applyFont="1" applyFill="1"/>
    <xf numFmtId="9" fontId="66" fillId="2" borderId="0" xfId="2" applyFont="1" applyFill="1" applyAlignment="1">
      <alignment horizontal="center"/>
    </xf>
    <xf numFmtId="0" fontId="53" fillId="4" borderId="0" xfId="0" applyFont="1" applyFill="1"/>
    <xf numFmtId="164" fontId="23" fillId="4" borderId="0" xfId="1" applyNumberFormat="1" applyFont="1" applyFill="1"/>
    <xf numFmtId="9" fontId="23" fillId="4" borderId="0" xfId="2" applyFont="1" applyFill="1" applyAlignment="1">
      <alignment horizontal="center"/>
    </xf>
    <xf numFmtId="164" fontId="53" fillId="4" borderId="0" xfId="1" applyNumberFormat="1" applyFont="1" applyFill="1"/>
    <xf numFmtId="9" fontId="53" fillId="4" borderId="0" xfId="2" applyFont="1" applyFill="1" applyAlignment="1">
      <alignment horizontal="center"/>
    </xf>
    <xf numFmtId="9" fontId="66" fillId="4" borderId="0" xfId="2" applyFont="1" applyFill="1" applyAlignment="1">
      <alignment horizontal="center"/>
    </xf>
    <xf numFmtId="9" fontId="23" fillId="2" borderId="0" xfId="2" applyFont="1" applyFill="1" applyAlignment="1">
      <alignment horizontal="center"/>
    </xf>
    <xf numFmtId="9" fontId="60" fillId="16" borderId="0" xfId="0" applyNumberFormat="1" applyFont="1" applyFill="1" applyAlignment="1">
      <alignment horizontal="center"/>
    </xf>
    <xf numFmtId="0" fontId="23" fillId="4" borderId="0" xfId="0" applyFont="1" applyFill="1"/>
    <xf numFmtId="9" fontId="16" fillId="4" borderId="0" xfId="2" applyFont="1" applyFill="1" applyAlignment="1">
      <alignment horizontal="center"/>
    </xf>
    <xf numFmtId="164" fontId="61" fillId="0" borderId="0" xfId="1" applyNumberFormat="1" applyFont="1"/>
    <xf numFmtId="0" fontId="53" fillId="15" borderId="0" xfId="0" applyFont="1" applyFill="1" applyAlignment="1">
      <alignment vertical="center"/>
    </xf>
    <xf numFmtId="164" fontId="53" fillId="15" borderId="0" xfId="1" applyNumberFormat="1" applyFont="1" applyFill="1" applyBorder="1" applyAlignment="1">
      <alignment vertical="center"/>
    </xf>
    <xf numFmtId="9" fontId="66" fillId="15" borderId="0" xfId="2" applyFont="1" applyFill="1" applyBorder="1" applyAlignment="1">
      <alignment horizontal="center" vertical="center"/>
    </xf>
    <xf numFmtId="164" fontId="53" fillId="2" borderId="0" xfId="1" applyNumberFormat="1" applyFont="1" applyFill="1" applyBorder="1"/>
    <xf numFmtId="9" fontId="53" fillId="2" borderId="0" xfId="2" applyFont="1" applyFill="1" applyBorder="1" applyAlignment="1">
      <alignment horizontal="center"/>
    </xf>
    <xf numFmtId="0" fontId="62" fillId="2" borderId="0" xfId="0" applyFont="1" applyFill="1"/>
    <xf numFmtId="0" fontId="58" fillId="2" borderId="0" xfId="0" applyFont="1" applyFill="1"/>
    <xf numFmtId="0" fontId="68" fillId="0" borderId="0" xfId="0" applyFont="1"/>
    <xf numFmtId="43" fontId="0" fillId="0" borderId="0" xfId="1" applyFont="1"/>
    <xf numFmtId="0" fontId="66" fillId="2" borderId="3" xfId="0" applyFont="1" applyFill="1" applyBorder="1" applyAlignment="1">
      <alignment vertical="center"/>
    </xf>
    <xf numFmtId="164" fontId="56" fillId="13" borderId="1" xfId="1" applyNumberFormat="1" applyFont="1" applyFill="1" applyBorder="1" applyProtection="1"/>
    <xf numFmtId="0" fontId="37" fillId="0" borderId="1" xfId="0" applyFont="1" applyBorder="1" applyAlignment="1">
      <alignment horizontal="left"/>
    </xf>
    <xf numFmtId="0" fontId="37" fillId="0" borderId="1" xfId="0" applyFont="1" applyBorder="1"/>
    <xf numFmtId="0" fontId="66" fillId="2" borderId="3" xfId="0" applyFont="1" applyFill="1" applyBorder="1" applyAlignment="1">
      <alignment horizontal="right" vertical="center"/>
    </xf>
    <xf numFmtId="0" fontId="34" fillId="0" borderId="0" xfId="4" applyFont="1" applyAlignment="1">
      <alignment horizontal="right"/>
    </xf>
    <xf numFmtId="0" fontId="34" fillId="0" borderId="0" xfId="4" applyFont="1" applyAlignment="1">
      <alignment horizontal="center"/>
    </xf>
    <xf numFmtId="3" fontId="38" fillId="0" borderId="0" xfId="4" applyNumberFormat="1" applyFont="1" applyAlignment="1">
      <alignment horizontal="center"/>
    </xf>
    <xf numFmtId="3" fontId="38" fillId="9" borderId="0" xfId="4" applyNumberFormat="1" applyFont="1" applyFill="1" applyAlignment="1">
      <alignment horizontal="center"/>
    </xf>
    <xf numFmtId="3" fontId="38" fillId="0" borderId="5" xfId="4" applyNumberFormat="1" applyFont="1" applyBorder="1" applyAlignment="1">
      <alignment horizontal="center"/>
    </xf>
    <xf numFmtId="0" fontId="52" fillId="9" borderId="9" xfId="4" applyFont="1" applyFill="1" applyBorder="1" applyAlignment="1">
      <alignment horizontal="center"/>
    </xf>
    <xf numFmtId="0" fontId="67" fillId="0" borderId="0" xfId="0" applyFont="1"/>
    <xf numFmtId="0" fontId="0" fillId="0" borderId="5" xfId="0" applyBorder="1"/>
    <xf numFmtId="0" fontId="71" fillId="0" borderId="5" xfId="0" applyFont="1" applyBorder="1" applyAlignment="1">
      <alignment horizontal="center"/>
    </xf>
    <xf numFmtId="0" fontId="68" fillId="0" borderId="49" xfId="0" applyFont="1" applyBorder="1"/>
    <xf numFmtId="43" fontId="0" fillId="0" borderId="49" xfId="1" applyFont="1" applyBorder="1"/>
    <xf numFmtId="0" fontId="68" fillId="0" borderId="50" xfId="0" applyFont="1" applyBorder="1"/>
    <xf numFmtId="170" fontId="0" fillId="0" borderId="50" xfId="2" applyNumberFormat="1" applyFont="1" applyBorder="1"/>
    <xf numFmtId="0" fontId="0" fillId="0" borderId="50" xfId="0" applyBorder="1"/>
    <xf numFmtId="43" fontId="0" fillId="0" borderId="50" xfId="1" applyFont="1" applyBorder="1"/>
    <xf numFmtId="171" fontId="0" fillId="0" borderId="50" xfId="0" applyNumberFormat="1" applyBorder="1"/>
    <xf numFmtId="0" fontId="72" fillId="0" borderId="7" xfId="0" applyFont="1" applyBorder="1"/>
    <xf numFmtId="0" fontId="53" fillId="0" borderId="7" xfId="0" applyFont="1" applyBorder="1"/>
    <xf numFmtId="0" fontId="0" fillId="0" borderId="7" xfId="0" applyBorder="1" applyAlignment="1">
      <alignment horizontal="left"/>
    </xf>
    <xf numFmtId="170" fontId="0" fillId="0" borderId="7" xfId="2" applyNumberFormat="1" applyFont="1" applyBorder="1" applyAlignment="1">
      <alignment horizontal="center"/>
    </xf>
    <xf numFmtId="0" fontId="0" fillId="0" borderId="7" xfId="0" applyBorder="1"/>
    <xf numFmtId="0" fontId="71" fillId="0" borderId="7" xfId="0" applyFont="1" applyBorder="1"/>
    <xf numFmtId="10" fontId="71" fillId="0" borderId="7" xfId="2" applyNumberFormat="1" applyFont="1" applyBorder="1" applyAlignment="1">
      <alignment horizontal="center"/>
    </xf>
    <xf numFmtId="0" fontId="0" fillId="0" borderId="0" xfId="0" applyAlignment="1">
      <alignment horizontal="left"/>
    </xf>
    <xf numFmtId="170" fontId="1" fillId="0" borderId="0" xfId="2" applyNumberFormat="1" applyFont="1" applyAlignment="1">
      <alignment horizontal="center"/>
    </xf>
    <xf numFmtId="10" fontId="1" fillId="0" borderId="0" xfId="2" applyNumberFormat="1" applyFont="1" applyAlignment="1">
      <alignment horizontal="center"/>
    </xf>
    <xf numFmtId="0" fontId="9" fillId="11" borderId="5" xfId="4" applyFont="1" applyFill="1" applyBorder="1" applyAlignment="1">
      <alignment horizontal="right" indent="5"/>
    </xf>
    <xf numFmtId="0" fontId="9" fillId="0" borderId="0" xfId="4" applyFont="1" applyAlignment="1">
      <alignment horizontal="right" indent="4"/>
    </xf>
    <xf numFmtId="0" fontId="70" fillId="0" borderId="0" xfId="4" applyFont="1"/>
    <xf numFmtId="0" fontId="16" fillId="0" borderId="0" xfId="4" applyFont="1"/>
    <xf numFmtId="0" fontId="20" fillId="0" borderId="0" xfId="4" applyFont="1"/>
    <xf numFmtId="0" fontId="20" fillId="0" borderId="0" xfId="4" applyFont="1" applyAlignment="1">
      <alignment horizontal="right" indent="4"/>
    </xf>
    <xf numFmtId="3" fontId="20" fillId="0" borderId="0" xfId="4" applyNumberFormat="1" applyFont="1" applyAlignment="1">
      <alignment horizontal="right" indent="4"/>
    </xf>
    <xf numFmtId="169" fontId="16" fillId="0" borderId="0" xfId="1" applyNumberFormat="1" applyFont="1"/>
    <xf numFmtId="0" fontId="23" fillId="0" borderId="0" xfId="4" applyFont="1"/>
    <xf numFmtId="0" fontId="73" fillId="0" borderId="0" xfId="4" applyFont="1" applyAlignment="1">
      <alignment horizontal="left"/>
    </xf>
    <xf numFmtId="0" fontId="74" fillId="0" borderId="9" xfId="4" applyFont="1" applyBorder="1"/>
    <xf numFmtId="0" fontId="74" fillId="0" borderId="0" xfId="4" applyFont="1" applyAlignment="1">
      <alignment horizontal="center"/>
    </xf>
    <xf numFmtId="0" fontId="59" fillId="0" borderId="0" xfId="4" applyFont="1" applyAlignment="1">
      <alignment horizontal="center"/>
    </xf>
    <xf numFmtId="0" fontId="74" fillId="0" borderId="5" xfId="4" applyFont="1" applyBorder="1" applyAlignment="1">
      <alignment horizontal="center"/>
    </xf>
    <xf numFmtId="9" fontId="20" fillId="0" borderId="0" xfId="2" applyFont="1" applyBorder="1" applyAlignment="1">
      <alignment horizontal="center"/>
    </xf>
    <xf numFmtId="170" fontId="20" fillId="0" borderId="0" xfId="2" applyNumberFormat="1" applyFont="1" applyBorder="1" applyAlignment="1">
      <alignment horizontal="center"/>
    </xf>
    <xf numFmtId="3" fontId="7" fillId="0" borderId="0" xfId="4" applyNumberFormat="1"/>
    <xf numFmtId="3" fontId="75" fillId="0" borderId="0" xfId="4" applyNumberFormat="1" applyFont="1" applyAlignment="1">
      <alignment horizontal="right" indent="4"/>
    </xf>
    <xf numFmtId="3" fontId="75" fillId="0" borderId="5" xfId="4" applyNumberFormat="1" applyFont="1" applyBorder="1" applyAlignment="1">
      <alignment horizontal="right" indent="4"/>
    </xf>
    <xf numFmtId="0" fontId="53" fillId="2" borderId="15" xfId="0" applyFont="1" applyFill="1" applyBorder="1"/>
    <xf numFmtId="0" fontId="53" fillId="2" borderId="16" xfId="0" applyFont="1" applyFill="1" applyBorder="1"/>
    <xf numFmtId="9" fontId="53" fillId="2" borderId="15" xfId="0" applyNumberFormat="1" applyFont="1" applyFill="1" applyBorder="1"/>
    <xf numFmtId="166" fontId="53" fillId="2" borderId="15" xfId="1" applyNumberFormat="1" applyFont="1" applyFill="1" applyBorder="1"/>
    <xf numFmtId="0" fontId="23" fillId="9" borderId="0" xfId="0" applyFont="1" applyFill="1"/>
    <xf numFmtId="164" fontId="73" fillId="0" borderId="0" xfId="1" applyNumberFormat="1" applyFont="1" applyFill="1"/>
    <xf numFmtId="0" fontId="73" fillId="0" borderId="0" xfId="0" applyFont="1"/>
    <xf numFmtId="0" fontId="20" fillId="0" borderId="0" xfId="0" applyFont="1"/>
    <xf numFmtId="0" fontId="76" fillId="0" borderId="0" xfId="0" applyFont="1" applyProtection="1">
      <protection locked="0"/>
    </xf>
    <xf numFmtId="0" fontId="77" fillId="0" borderId="0" xfId="0" applyFont="1" applyAlignment="1">
      <alignment vertical="center"/>
    </xf>
    <xf numFmtId="0" fontId="23" fillId="0" borderId="1" xfId="0" quotePrefix="1" applyFont="1" applyBorder="1"/>
    <xf numFmtId="0" fontId="23" fillId="0" borderId="1" xfId="0" applyFont="1" applyBorder="1"/>
    <xf numFmtId="164" fontId="23" fillId="0" borderId="1" xfId="1" applyNumberFormat="1" applyFont="1" applyBorder="1"/>
    <xf numFmtId="0" fontId="16" fillId="0" borderId="1" xfId="0" applyFont="1" applyBorder="1"/>
    <xf numFmtId="0" fontId="16" fillId="0" borderId="1" xfId="0" applyFont="1" applyBorder="1" applyAlignment="1">
      <alignment horizontal="center" textRotation="90"/>
    </xf>
    <xf numFmtId="0" fontId="54" fillId="3" borderId="3" xfId="0" applyFont="1" applyFill="1" applyBorder="1" applyProtection="1">
      <protection locked="0"/>
    </xf>
    <xf numFmtId="14" fontId="54" fillId="3" borderId="3" xfId="0" applyNumberFormat="1" applyFont="1" applyFill="1" applyBorder="1" applyProtection="1">
      <protection locked="0"/>
    </xf>
    <xf numFmtId="2" fontId="54" fillId="3" borderId="3" xfId="0" applyNumberFormat="1" applyFont="1" applyFill="1" applyBorder="1" applyProtection="1">
      <protection locked="0"/>
    </xf>
    <xf numFmtId="14" fontId="54" fillId="0" borderId="3" xfId="0" applyNumberFormat="1" applyFont="1" applyBorder="1"/>
    <xf numFmtId="2" fontId="54" fillId="0" borderId="3" xfId="0" applyNumberFormat="1" applyFont="1" applyBorder="1"/>
    <xf numFmtId="9" fontId="57" fillId="4" borderId="51" xfId="2" applyFont="1" applyFill="1" applyBorder="1" applyAlignment="1">
      <alignment horizontal="center" vertical="center" wrapText="1"/>
    </xf>
    <xf numFmtId="0" fontId="16" fillId="0" borderId="2" xfId="0" applyFont="1" applyBorder="1" applyAlignment="1">
      <alignment horizontal="center" textRotation="90"/>
    </xf>
    <xf numFmtId="0" fontId="53" fillId="2" borderId="52" xfId="0" applyFont="1" applyFill="1" applyBorder="1" applyAlignment="1">
      <alignment vertical="center"/>
    </xf>
    <xf numFmtId="164" fontId="53" fillId="2" borderId="53" xfId="1" applyNumberFormat="1" applyFont="1" applyFill="1" applyBorder="1" applyAlignment="1">
      <alignment horizontal="center" vertical="center"/>
    </xf>
    <xf numFmtId="164" fontId="53" fillId="2" borderId="54" xfId="1" applyNumberFormat="1" applyFont="1" applyFill="1" applyBorder="1" applyAlignment="1">
      <alignment horizontal="center" vertical="center"/>
    </xf>
    <xf numFmtId="164" fontId="53" fillId="4" borderId="55" xfId="1" applyNumberFormat="1" applyFont="1" applyFill="1" applyBorder="1" applyAlignment="1">
      <alignment horizontal="center" vertical="center" wrapText="1"/>
    </xf>
    <xf numFmtId="0" fontId="16" fillId="0" borderId="2" xfId="0" applyFont="1" applyBorder="1"/>
    <xf numFmtId="0" fontId="43" fillId="6" borderId="46" xfId="0" applyFont="1" applyFill="1" applyBorder="1"/>
    <xf numFmtId="164" fontId="34" fillId="2" borderId="48" xfId="1" applyNumberFormat="1" applyFont="1" applyFill="1" applyBorder="1"/>
    <xf numFmtId="9" fontId="44" fillId="2" borderId="56" xfId="2" applyFont="1" applyFill="1" applyBorder="1" applyAlignment="1">
      <alignment horizontal="center"/>
    </xf>
    <xf numFmtId="164" fontId="34" fillId="6" borderId="57" xfId="1" applyNumberFormat="1" applyFont="1" applyFill="1" applyBorder="1" applyProtection="1"/>
    <xf numFmtId="0" fontId="43" fillId="0" borderId="0" xfId="0" applyFont="1"/>
    <xf numFmtId="0" fontId="44" fillId="3" borderId="57" xfId="0" applyFont="1" applyFill="1" applyBorder="1" applyProtection="1">
      <protection locked="0"/>
    </xf>
    <xf numFmtId="0" fontId="43" fillId="3" borderId="46" xfId="0" applyFont="1" applyFill="1" applyBorder="1" applyProtection="1">
      <protection locked="0"/>
    </xf>
    <xf numFmtId="164" fontId="34" fillId="3" borderId="57" xfId="1" applyNumberFormat="1" applyFont="1" applyFill="1" applyBorder="1" applyProtection="1">
      <protection locked="0"/>
    </xf>
    <xf numFmtId="0" fontId="44" fillId="3" borderId="44" xfId="4" applyFont="1" applyFill="1" applyBorder="1"/>
    <xf numFmtId="0" fontId="34" fillId="2" borderId="47" xfId="0" applyFont="1" applyFill="1" applyBorder="1"/>
    <xf numFmtId="0" fontId="34" fillId="2" borderId="58" xfId="0" applyFont="1" applyFill="1" applyBorder="1"/>
    <xf numFmtId="0" fontId="34" fillId="3" borderId="57" xfId="0" applyFont="1" applyFill="1" applyBorder="1"/>
    <xf numFmtId="0" fontId="34" fillId="3" borderId="55" xfId="0" applyFont="1" applyFill="1" applyBorder="1"/>
    <xf numFmtId="0" fontId="53" fillId="12" borderId="45" xfId="0" applyFont="1" applyFill="1" applyBorder="1"/>
    <xf numFmtId="164" fontId="53" fillId="12" borderId="43" xfId="1" applyNumberFormat="1" applyFont="1" applyFill="1" applyBorder="1"/>
    <xf numFmtId="9" fontId="53" fillId="12" borderId="59" xfId="2" applyFont="1" applyFill="1" applyBorder="1" applyAlignment="1">
      <alignment horizontal="center"/>
    </xf>
    <xf numFmtId="164" fontId="53" fillId="12" borderId="60" xfId="1" applyNumberFormat="1" applyFont="1" applyFill="1" applyBorder="1"/>
    <xf numFmtId="0" fontId="63" fillId="12" borderId="61" xfId="0" applyFont="1" applyFill="1" applyBorder="1"/>
    <xf numFmtId="0" fontId="43" fillId="9" borderId="46" xfId="0" applyFont="1" applyFill="1" applyBorder="1" applyProtection="1">
      <protection locked="0"/>
    </xf>
    <xf numFmtId="164" fontId="34" fillId="9" borderId="57" xfId="1" applyNumberFormat="1" applyFont="1" applyFill="1" applyBorder="1" applyProtection="1">
      <protection locked="0"/>
    </xf>
    <xf numFmtId="0" fontId="44" fillId="9" borderId="57" xfId="0" applyFont="1" applyFill="1" applyBorder="1" applyProtection="1">
      <protection locked="0"/>
    </xf>
    <xf numFmtId="0" fontId="44" fillId="9" borderId="44" xfId="4" applyFont="1" applyFill="1" applyBorder="1"/>
    <xf numFmtId="0" fontId="34" fillId="9" borderId="55" xfId="0" applyFont="1" applyFill="1" applyBorder="1"/>
    <xf numFmtId="0" fontId="53" fillId="13" borderId="45" xfId="0" applyFont="1" applyFill="1" applyBorder="1"/>
    <xf numFmtId="164" fontId="53" fillId="13" borderId="43" xfId="1" applyNumberFormat="1" applyFont="1" applyFill="1" applyBorder="1"/>
    <xf numFmtId="9" fontId="53" fillId="13" borderId="59" xfId="2" applyFont="1" applyFill="1" applyBorder="1" applyAlignment="1">
      <alignment horizontal="center"/>
    </xf>
    <xf numFmtId="164" fontId="53" fillId="13" borderId="60" xfId="1" applyNumberFormat="1" applyFont="1" applyFill="1" applyBorder="1"/>
    <xf numFmtId="9" fontId="53" fillId="13" borderId="6" xfId="2" applyFont="1" applyFill="1" applyBorder="1" applyAlignment="1">
      <alignment horizontal="center"/>
    </xf>
    <xf numFmtId="0" fontId="63" fillId="13" borderId="61" xfId="0" applyFont="1" applyFill="1" applyBorder="1"/>
    <xf numFmtId="9" fontId="53" fillId="12" borderId="6" xfId="2" applyFont="1" applyFill="1" applyBorder="1" applyAlignment="1">
      <alignment horizontal="center"/>
    </xf>
    <xf numFmtId="0" fontId="53" fillId="12" borderId="62" xfId="0" applyFont="1" applyFill="1" applyBorder="1"/>
    <xf numFmtId="164" fontId="53" fillId="12" borderId="63" xfId="1" applyNumberFormat="1" applyFont="1" applyFill="1" applyBorder="1"/>
    <xf numFmtId="9" fontId="53" fillId="12" borderId="64" xfId="2" applyFont="1" applyFill="1" applyBorder="1" applyAlignment="1">
      <alignment horizontal="center"/>
    </xf>
    <xf numFmtId="164" fontId="53" fillId="12" borderId="42" xfId="1" applyNumberFormat="1" applyFont="1" applyFill="1" applyBorder="1"/>
    <xf numFmtId="9" fontId="23" fillId="0" borderId="0" xfId="2" applyFont="1" applyAlignment="1">
      <alignment horizontal="center"/>
    </xf>
    <xf numFmtId="0" fontId="36" fillId="0" borderId="0" xfId="8" applyFont="1" applyFill="1" applyBorder="1" applyAlignment="1">
      <alignment horizontal="left"/>
    </xf>
    <xf numFmtId="0" fontId="56" fillId="0" borderId="0" xfId="0" applyFont="1" applyAlignment="1">
      <alignment horizontal="center" textRotation="90"/>
    </xf>
    <xf numFmtId="0" fontId="53" fillId="2" borderId="51" xfId="0" applyFont="1" applyFill="1" applyBorder="1" applyAlignment="1">
      <alignment horizontal="left" vertical="center"/>
    </xf>
    <xf numFmtId="0" fontId="53" fillId="2" borderId="55" xfId="0" applyFont="1" applyFill="1" applyBorder="1" applyAlignment="1">
      <alignment horizontal="left" vertical="center"/>
    </xf>
    <xf numFmtId="0" fontId="53" fillId="9" borderId="0" xfId="0" applyFont="1" applyFill="1" applyAlignment="1">
      <alignment horizontal="center"/>
    </xf>
    <xf numFmtId="0" fontId="70" fillId="0" borderId="0" xfId="4" applyFont="1" applyAlignment="1">
      <alignment horizontal="center"/>
    </xf>
    <xf numFmtId="0" fontId="19" fillId="0" borderId="0" xfId="9" applyFont="1" applyAlignment="1">
      <alignment horizontal="left" vertical="top" wrapText="1"/>
    </xf>
    <xf numFmtId="0" fontId="23" fillId="0" borderId="31" xfId="9" applyFont="1" applyBorder="1" applyAlignment="1">
      <alignment horizontal="left" vertical="center"/>
    </xf>
    <xf numFmtId="0" fontId="23" fillId="0" borderId="26" xfId="9" applyFont="1" applyBorder="1" applyAlignment="1">
      <alignment horizontal="left" vertical="center"/>
    </xf>
    <xf numFmtId="0" fontId="23"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3" name="Gerade Verbindung mit Pfeil 2">
          <a:extLst>
            <a:ext uri="{FF2B5EF4-FFF2-40B4-BE49-F238E27FC236}">
              <a16:creationId xmlns:a16="http://schemas.microsoft.com/office/drawing/2014/main" id="{58171AB1-1087-A987-90B7-DE693A2B586B}"/>
            </a:ext>
          </a:extLst>
        </xdr:cNvPr>
        <xdr:cNvCxnSpPr/>
      </xdr:nvCxnSpPr>
      <xdr:spPr>
        <a:xfrm>
          <a:off x="8436429" y="580571"/>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1043214</xdr:colOff>
      <xdr:row>4</xdr:row>
      <xdr:rowOff>108857</xdr:rowOff>
    </xdr:from>
    <xdr:to>
      <xdr:col>10</xdr:col>
      <xdr:colOff>671286</xdr:colOff>
      <xdr:row>4</xdr:row>
      <xdr:rowOff>108858</xdr:rowOff>
    </xdr:to>
    <xdr:cxnSp macro="">
      <xdr:nvCxnSpPr>
        <xdr:cNvPr id="5" name="Gerade Verbindung mit Pfeil 4">
          <a:extLst>
            <a:ext uri="{FF2B5EF4-FFF2-40B4-BE49-F238E27FC236}">
              <a16:creationId xmlns:a16="http://schemas.microsoft.com/office/drawing/2014/main" id="{02E3823C-45F4-0741-9B24-57A2E5BCC524}"/>
            </a:ext>
          </a:extLst>
        </xdr:cNvPr>
        <xdr:cNvCxnSpPr/>
      </xdr:nvCxnSpPr>
      <xdr:spPr>
        <a:xfrm>
          <a:off x="8427357" y="798286"/>
          <a:ext cx="130628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126999</xdr:rowOff>
    </xdr:from>
    <xdr:to>
      <xdr:col>6</xdr:col>
      <xdr:colOff>691530</xdr:colOff>
      <xdr:row>51</xdr:row>
      <xdr:rowOff>181036</xdr:rowOff>
    </xdr:to>
    <xdr:pic>
      <xdr:nvPicPr>
        <xdr:cNvPr id="2" name="Grafik 1">
          <a:extLst>
            <a:ext uri="{FF2B5EF4-FFF2-40B4-BE49-F238E27FC236}">
              <a16:creationId xmlns:a16="http://schemas.microsoft.com/office/drawing/2014/main" id="{BC4D5B80-FE99-F0FD-413B-200264A4B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0866"/>
          <a:ext cx="6652063" cy="411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43"/>
  <sheetViews>
    <sheetView showGridLines="0" zoomScale="142" zoomScaleNormal="140" workbookViewId="0">
      <selection activeCell="A143" sqref="A143"/>
    </sheetView>
  </sheetViews>
  <sheetFormatPr baseColWidth="10" defaultRowHeight="16"/>
  <cols>
    <col min="1" max="1" width="3.6640625" style="88" customWidth="1"/>
    <col min="2" max="16384" width="10.83203125" style="88"/>
  </cols>
  <sheetData>
    <row r="1" spans="1:14">
      <c r="A1" s="90" t="s">
        <v>289</v>
      </c>
      <c r="B1" s="87"/>
      <c r="C1" s="87"/>
      <c r="D1" s="87"/>
      <c r="E1" s="87"/>
      <c r="F1" s="87"/>
      <c r="G1" s="87"/>
      <c r="H1" s="87"/>
      <c r="I1" s="87"/>
      <c r="J1" s="87"/>
      <c r="K1" s="87"/>
      <c r="L1" s="87"/>
      <c r="M1" s="87"/>
      <c r="N1" s="87"/>
    </row>
    <row r="2" spans="1:14">
      <c r="A2" s="89"/>
    </row>
    <row r="3" spans="1:14">
      <c r="A3" s="90" t="s">
        <v>116</v>
      </c>
      <c r="B3" s="87"/>
      <c r="C3" s="87"/>
      <c r="D3" s="87"/>
      <c r="E3" s="87"/>
      <c r="F3" s="87"/>
      <c r="G3" s="87"/>
      <c r="H3" s="87"/>
      <c r="I3" s="87"/>
      <c r="J3" s="87"/>
      <c r="K3" s="87"/>
      <c r="L3" s="87"/>
      <c r="M3" s="87"/>
      <c r="N3" s="87"/>
    </row>
    <row r="4" spans="1:14">
      <c r="A4" s="333" t="s">
        <v>122</v>
      </c>
      <c r="B4" s="333"/>
      <c r="C4" s="333"/>
      <c r="D4" s="333"/>
    </row>
    <row r="5" spans="1:14">
      <c r="A5" s="333" t="s">
        <v>87</v>
      </c>
      <c r="B5" s="333"/>
      <c r="C5" s="333"/>
      <c r="D5" s="333"/>
    </row>
    <row r="6" spans="1:14">
      <c r="A6" s="333" t="s">
        <v>24</v>
      </c>
      <c r="B6" s="333"/>
      <c r="C6" s="333"/>
      <c r="D6" s="333"/>
    </row>
    <row r="7" spans="1:14">
      <c r="A7" s="333" t="s">
        <v>0</v>
      </c>
      <c r="B7" s="333"/>
      <c r="C7" s="333"/>
      <c r="D7" s="333"/>
      <c r="F7" s="120"/>
      <c r="G7" s="120"/>
      <c r="H7" s="120"/>
      <c r="I7" s="120"/>
    </row>
    <row r="8" spans="1:14">
      <c r="A8" s="333" t="s">
        <v>117</v>
      </c>
      <c r="B8" s="333"/>
      <c r="C8" s="333"/>
      <c r="D8" s="333"/>
    </row>
    <row r="9" spans="1:14">
      <c r="A9" s="333" t="s">
        <v>8</v>
      </c>
      <c r="B9" s="333"/>
      <c r="C9" s="333"/>
      <c r="D9" s="333"/>
    </row>
    <row r="10" spans="1:14">
      <c r="A10" s="333" t="s">
        <v>245</v>
      </c>
      <c r="B10" s="333"/>
      <c r="C10" s="333"/>
      <c r="D10" s="333"/>
    </row>
    <row r="11" spans="1:14">
      <c r="A11" s="333" t="s">
        <v>120</v>
      </c>
      <c r="B11" s="333"/>
      <c r="C11" s="333"/>
      <c r="D11" s="333"/>
    </row>
    <row r="12" spans="1:14">
      <c r="A12" s="333" t="s">
        <v>121</v>
      </c>
      <c r="B12" s="333"/>
      <c r="C12" s="333"/>
      <c r="D12" s="333"/>
    </row>
    <row r="13" spans="1:14">
      <c r="A13" s="91"/>
      <c r="F13" s="333"/>
      <c r="G13" s="333"/>
      <c r="H13" s="333"/>
    </row>
    <row r="14" spans="1:14">
      <c r="A14" s="89"/>
    </row>
    <row r="15" spans="1:14">
      <c r="A15" s="90" t="s">
        <v>123</v>
      </c>
      <c r="B15" s="87"/>
      <c r="C15" s="87"/>
      <c r="D15" s="87"/>
      <c r="E15" s="87"/>
      <c r="F15" s="87"/>
      <c r="G15" s="87"/>
      <c r="H15" s="87"/>
      <c r="I15" s="87"/>
      <c r="J15" s="87"/>
      <c r="K15" s="87"/>
      <c r="L15" s="87"/>
      <c r="M15" s="87"/>
      <c r="N15" s="87"/>
    </row>
    <row r="16" spans="1:14">
      <c r="A16" s="88" t="s">
        <v>176</v>
      </c>
    </row>
    <row r="17" spans="1:14">
      <c r="A17" s="88" t="s">
        <v>410</v>
      </c>
    </row>
    <row r="18" spans="1:14" s="92" customFormat="1">
      <c r="A18" s="92" t="s">
        <v>290</v>
      </c>
    </row>
    <row r="19" spans="1:14">
      <c r="A19" s="88" t="s">
        <v>182</v>
      </c>
    </row>
    <row r="20" spans="1:14">
      <c r="A20" s="88" t="s">
        <v>131</v>
      </c>
    </row>
    <row r="22" spans="1:14">
      <c r="A22" s="88" t="s">
        <v>372</v>
      </c>
    </row>
    <row r="23" spans="1:14">
      <c r="A23" s="88" t="s">
        <v>132</v>
      </c>
    </row>
    <row r="26" spans="1:14">
      <c r="A26" s="90" t="s">
        <v>118</v>
      </c>
      <c r="B26" s="87"/>
      <c r="C26" s="87"/>
      <c r="D26" s="87"/>
      <c r="E26" s="87"/>
      <c r="F26" s="87"/>
      <c r="G26" s="87"/>
      <c r="H26" s="87"/>
      <c r="I26" s="87"/>
      <c r="J26" s="87"/>
      <c r="K26" s="87"/>
      <c r="L26" s="87"/>
      <c r="M26" s="87"/>
      <c r="N26" s="87"/>
    </row>
    <row r="27" spans="1:14">
      <c r="A27" s="88" t="s">
        <v>89</v>
      </c>
    </row>
    <row r="28" spans="1:14">
      <c r="A28" s="88" t="s">
        <v>128</v>
      </c>
      <c r="C28" s="88" t="s">
        <v>87</v>
      </c>
      <c r="F28" s="88" t="s">
        <v>373</v>
      </c>
      <c r="G28" s="88" t="s">
        <v>374</v>
      </c>
    </row>
    <row r="29" spans="1:14">
      <c r="A29" s="88" t="s">
        <v>129</v>
      </c>
      <c r="C29" s="88" t="s">
        <v>167</v>
      </c>
      <c r="F29" s="88" t="s">
        <v>375</v>
      </c>
      <c r="G29" s="88" t="s">
        <v>295</v>
      </c>
    </row>
    <row r="30" spans="1:14">
      <c r="A30" s="88" t="s">
        <v>130</v>
      </c>
      <c r="C30" s="88" t="s">
        <v>40</v>
      </c>
      <c r="F30" s="88" t="s">
        <v>390</v>
      </c>
    </row>
    <row r="33" spans="1:14">
      <c r="A33" s="90" t="s">
        <v>125</v>
      </c>
      <c r="B33" s="87"/>
      <c r="C33" s="87"/>
      <c r="D33" s="87"/>
      <c r="E33" s="87"/>
      <c r="F33" s="87"/>
      <c r="G33" s="87"/>
      <c r="H33" s="87"/>
      <c r="I33" s="87"/>
      <c r="J33" s="87"/>
      <c r="K33" s="87"/>
      <c r="L33" s="87"/>
      <c r="M33" s="87"/>
      <c r="N33" s="87"/>
    </row>
    <row r="34" spans="1:14">
      <c r="A34" s="111" t="s">
        <v>411</v>
      </c>
    </row>
    <row r="35" spans="1:14">
      <c r="A35" s="111" t="s">
        <v>177</v>
      </c>
    </row>
    <row r="36" spans="1:14">
      <c r="A36" s="111" t="s">
        <v>407</v>
      </c>
    </row>
    <row r="37" spans="1:14">
      <c r="A37" s="112"/>
    </row>
    <row r="38" spans="1:14" s="135" customFormat="1">
      <c r="A38" s="118" t="s">
        <v>190</v>
      </c>
    </row>
    <row r="39" spans="1:14">
      <c r="A39" s="94" t="s">
        <v>258</v>
      </c>
    </row>
    <row r="40" spans="1:14">
      <c r="A40" s="94" t="s">
        <v>259</v>
      </c>
    </row>
    <row r="41" spans="1:14">
      <c r="A41" s="94"/>
    </row>
    <row r="42" spans="1:14" s="94" customFormat="1">
      <c r="B42" s="94" t="s">
        <v>260</v>
      </c>
    </row>
    <row r="43" spans="1:14" s="94" customFormat="1"/>
    <row r="44" spans="1:14" s="94" customFormat="1">
      <c r="B44" s="94" t="s">
        <v>261</v>
      </c>
    </row>
    <row r="45" spans="1:14" s="94" customFormat="1">
      <c r="B45" s="94" t="s">
        <v>291</v>
      </c>
    </row>
    <row r="46" spans="1:14" s="94" customFormat="1">
      <c r="B46" s="94" t="s">
        <v>376</v>
      </c>
    </row>
    <row r="47" spans="1:14" s="94" customFormat="1">
      <c r="B47" s="94" t="s">
        <v>292</v>
      </c>
    </row>
    <row r="48" spans="1:14" s="94" customFormat="1">
      <c r="B48" s="94" t="s">
        <v>377</v>
      </c>
    </row>
    <row r="49" spans="1:2" s="94" customFormat="1"/>
    <row r="50" spans="1:2" s="94" customFormat="1">
      <c r="B50" s="94" t="s">
        <v>262</v>
      </c>
    </row>
    <row r="51" spans="1:2" s="94" customFormat="1">
      <c r="B51" s="94" t="s">
        <v>378</v>
      </c>
    </row>
    <row r="52" spans="1:2" s="94" customFormat="1">
      <c r="B52" s="94" t="s">
        <v>382</v>
      </c>
    </row>
    <row r="53" spans="1:2" s="94" customFormat="1">
      <c r="B53" s="94" t="s">
        <v>380</v>
      </c>
    </row>
    <row r="54" spans="1:2" s="94" customFormat="1">
      <c r="B54" s="94" t="s">
        <v>381</v>
      </c>
    </row>
    <row r="55" spans="1:2" s="94" customFormat="1">
      <c r="B55" s="96" t="s">
        <v>379</v>
      </c>
    </row>
    <row r="56" spans="1:2" s="94" customFormat="1"/>
    <row r="57" spans="1:2" s="94" customFormat="1">
      <c r="B57" s="94" t="s">
        <v>384</v>
      </c>
    </row>
    <row r="58" spans="1:2" s="94" customFormat="1">
      <c r="B58" s="94" t="s">
        <v>383</v>
      </c>
    </row>
    <row r="59" spans="1:2" s="94" customFormat="1"/>
    <row r="60" spans="1:2" s="94" customFormat="1">
      <c r="B60" s="94" t="s">
        <v>263</v>
      </c>
    </row>
    <row r="61" spans="1:2" s="94" customFormat="1"/>
    <row r="62" spans="1:2">
      <c r="A62" s="94" t="s">
        <v>193</v>
      </c>
    </row>
    <row r="63" spans="1:2">
      <c r="A63" s="94" t="s">
        <v>194</v>
      </c>
    </row>
    <row r="64" spans="1:2">
      <c r="A64" s="94" t="s">
        <v>195</v>
      </c>
    </row>
    <row r="65" spans="1:15" ht="22" customHeight="1">
      <c r="A65" s="130" t="s">
        <v>196</v>
      </c>
      <c r="O65" s="84"/>
    </row>
    <row r="66" spans="1:15">
      <c r="A66" s="113" t="s">
        <v>198</v>
      </c>
    </row>
    <row r="67" spans="1:15">
      <c r="A67" s="113" t="s">
        <v>199</v>
      </c>
    </row>
    <row r="68" spans="1:15">
      <c r="A68" s="95" t="s">
        <v>197</v>
      </c>
    </row>
    <row r="69" spans="1:15">
      <c r="A69" s="111" t="s">
        <v>186</v>
      </c>
    </row>
    <row r="70" spans="1:15">
      <c r="A70" s="88" t="s">
        <v>405</v>
      </c>
    </row>
    <row r="71" spans="1:15">
      <c r="A71" s="111"/>
    </row>
    <row r="72" spans="1:15" s="89" customFormat="1">
      <c r="A72" s="118" t="s">
        <v>187</v>
      </c>
    </row>
    <row r="73" spans="1:15">
      <c r="A73" s="94" t="s">
        <v>258</v>
      </c>
    </row>
    <row r="74" spans="1:15">
      <c r="A74" s="94" t="s">
        <v>200</v>
      </c>
    </row>
    <row r="75" spans="1:15">
      <c r="A75" s="94" t="s">
        <v>201</v>
      </c>
    </row>
    <row r="76" spans="1:15">
      <c r="A76" s="94" t="s">
        <v>202</v>
      </c>
    </row>
    <row r="77" spans="1:15" ht="22" customHeight="1">
      <c r="A77" s="130" t="s">
        <v>188</v>
      </c>
      <c r="O77" s="84"/>
    </row>
    <row r="78" spans="1:15">
      <c r="A78" s="94" t="s">
        <v>204</v>
      </c>
    </row>
    <row r="79" spans="1:15">
      <c r="A79" s="114" t="s">
        <v>203</v>
      </c>
    </row>
    <row r="80" spans="1:15">
      <c r="A80" s="95" t="s">
        <v>197</v>
      </c>
    </row>
    <row r="81" spans="1:15">
      <c r="A81" s="111" t="s">
        <v>189</v>
      </c>
    </row>
    <row r="82" spans="1:15">
      <c r="A82" s="88" t="s">
        <v>405</v>
      </c>
    </row>
    <row r="83" spans="1:15">
      <c r="A83" s="111"/>
    </row>
    <row r="84" spans="1:15">
      <c r="A84" s="111"/>
    </row>
    <row r="85" spans="1:15" s="89" customFormat="1">
      <c r="A85" s="118" t="s">
        <v>185</v>
      </c>
    </row>
    <row r="86" spans="1:15">
      <c r="A86" s="94" t="s">
        <v>258</v>
      </c>
    </row>
    <row r="87" spans="1:15">
      <c r="A87" s="94" t="s">
        <v>192</v>
      </c>
    </row>
    <row r="88" spans="1:15">
      <c r="A88" s="94" t="s">
        <v>193</v>
      </c>
    </row>
    <row r="89" spans="1:15">
      <c r="A89" s="94" t="s">
        <v>194</v>
      </c>
    </row>
    <row r="90" spans="1:15">
      <c r="A90" s="94" t="s">
        <v>195</v>
      </c>
    </row>
    <row r="91" spans="1:15" ht="22" customHeight="1">
      <c r="A91" s="130" t="s">
        <v>196</v>
      </c>
      <c r="O91" s="84"/>
    </row>
    <row r="92" spans="1:15">
      <c r="A92" s="113" t="s">
        <v>198</v>
      </c>
    </row>
    <row r="93" spans="1:15">
      <c r="A93" s="113" t="s">
        <v>199</v>
      </c>
    </row>
    <row r="94" spans="1:15">
      <c r="A94" s="95" t="s">
        <v>197</v>
      </c>
    </row>
    <row r="95" spans="1:15">
      <c r="A95" s="111" t="s">
        <v>186</v>
      </c>
    </row>
    <row r="96" spans="1:15">
      <c r="A96" s="88" t="s">
        <v>405</v>
      </c>
    </row>
    <row r="97" spans="1:15">
      <c r="A97" s="111"/>
    </row>
    <row r="98" spans="1:15" s="89" customFormat="1">
      <c r="A98" s="118" t="s">
        <v>191</v>
      </c>
    </row>
    <row r="99" spans="1:15">
      <c r="A99" s="94" t="s">
        <v>258</v>
      </c>
    </row>
    <row r="100" spans="1:15">
      <c r="A100" s="94" t="s">
        <v>267</v>
      </c>
    </row>
    <row r="101" spans="1:15">
      <c r="A101" s="94" t="s">
        <v>193</v>
      </c>
    </row>
    <row r="102" spans="1:15">
      <c r="A102" s="94" t="s">
        <v>194</v>
      </c>
      <c r="O102" s="129"/>
    </row>
    <row r="103" spans="1:15">
      <c r="A103" s="94" t="s">
        <v>195</v>
      </c>
      <c r="O103" s="84"/>
    </row>
    <row r="104" spans="1:15" ht="22" customHeight="1">
      <c r="A104" s="130" t="s">
        <v>196</v>
      </c>
      <c r="O104" s="84"/>
    </row>
    <row r="105" spans="1:15">
      <c r="A105" s="113" t="s">
        <v>198</v>
      </c>
      <c r="O105" s="84"/>
    </row>
    <row r="106" spans="1:15">
      <c r="A106" s="113" t="s">
        <v>272</v>
      </c>
      <c r="O106" s="84"/>
    </row>
    <row r="107" spans="1:15">
      <c r="A107" s="113" t="s">
        <v>268</v>
      </c>
      <c r="O107" s="84"/>
    </row>
    <row r="108" spans="1:15">
      <c r="A108" s="113" t="s">
        <v>269</v>
      </c>
      <c r="O108" s="84"/>
    </row>
    <row r="109" spans="1:15">
      <c r="A109" s="113" t="s">
        <v>270</v>
      </c>
      <c r="O109" s="84"/>
    </row>
    <row r="110" spans="1:15">
      <c r="A110" s="113" t="s">
        <v>271</v>
      </c>
      <c r="O110" s="84"/>
    </row>
    <row r="111" spans="1:15">
      <c r="A111" s="113" t="s">
        <v>385</v>
      </c>
      <c r="O111" s="84"/>
    </row>
    <row r="112" spans="1:15">
      <c r="A112" s="113" t="s">
        <v>199</v>
      </c>
    </row>
    <row r="113" spans="1:14">
      <c r="A113" s="95" t="s">
        <v>197</v>
      </c>
    </row>
    <row r="114" spans="1:14">
      <c r="A114" s="111" t="s">
        <v>186</v>
      </c>
    </row>
    <row r="115" spans="1:14">
      <c r="A115" s="88" t="s">
        <v>405</v>
      </c>
    </row>
    <row r="118" spans="1:14">
      <c r="A118" s="90" t="s">
        <v>90</v>
      </c>
      <c r="B118" s="87"/>
      <c r="C118" s="87"/>
      <c r="D118" s="87"/>
      <c r="E118" s="87"/>
      <c r="F118" s="87"/>
      <c r="G118" s="87"/>
      <c r="H118" s="87"/>
      <c r="I118" s="87"/>
      <c r="J118" s="87"/>
      <c r="K118" s="87"/>
      <c r="L118" s="87"/>
      <c r="M118" s="87"/>
      <c r="N118" s="87"/>
    </row>
    <row r="119" spans="1:14">
      <c r="A119" s="93" t="s">
        <v>97</v>
      </c>
    </row>
    <row r="120" spans="1:14">
      <c r="A120" s="94" t="s">
        <v>386</v>
      </c>
    </row>
    <row r="121" spans="1:14">
      <c r="A121" s="94"/>
    </row>
    <row r="122" spans="1:14">
      <c r="A122" s="93" t="s">
        <v>98</v>
      </c>
    </row>
    <row r="123" spans="1:14">
      <c r="A123" s="94" t="s">
        <v>250</v>
      </c>
    </row>
    <row r="124" spans="1:14">
      <c r="A124" s="94" t="s">
        <v>249</v>
      </c>
    </row>
    <row r="125" spans="1:14">
      <c r="A125" s="94"/>
    </row>
    <row r="126" spans="1:14">
      <c r="A126" s="93" t="s">
        <v>181</v>
      </c>
    </row>
    <row r="127" spans="1:14">
      <c r="A127" s="94" t="s">
        <v>91</v>
      </c>
    </row>
    <row r="128" spans="1:14">
      <c r="A128" s="94" t="s">
        <v>92</v>
      </c>
    </row>
    <row r="129" spans="1:14">
      <c r="A129" s="94" t="s">
        <v>93</v>
      </c>
    </row>
    <row r="130" spans="1:14">
      <c r="A130" s="94" t="s">
        <v>178</v>
      </c>
    </row>
    <row r="131" spans="1:14">
      <c r="A131" s="94"/>
    </row>
    <row r="133" spans="1:14">
      <c r="A133" s="90" t="s">
        <v>95</v>
      </c>
      <c r="B133" s="87"/>
      <c r="C133" s="87"/>
      <c r="D133" s="87"/>
      <c r="E133" s="87"/>
      <c r="F133" s="87"/>
      <c r="G133" s="87"/>
      <c r="H133" s="87"/>
      <c r="I133" s="87"/>
      <c r="J133" s="87"/>
      <c r="K133" s="87"/>
      <c r="L133" s="87"/>
      <c r="M133" s="87"/>
      <c r="N133" s="87"/>
    </row>
    <row r="134" spans="1:14">
      <c r="A134" s="93" t="s">
        <v>97</v>
      </c>
    </row>
    <row r="135" spans="1:14">
      <c r="A135" s="94" t="s">
        <v>96</v>
      </c>
    </row>
    <row r="136" spans="1:14">
      <c r="A136" s="94" t="s">
        <v>179</v>
      </c>
    </row>
    <row r="137" spans="1:14">
      <c r="A137" s="94"/>
    </row>
    <row r="138" spans="1:14">
      <c r="A138" s="93" t="s">
        <v>98</v>
      </c>
    </row>
    <row r="139" spans="1:14">
      <c r="A139" s="94" t="s">
        <v>99</v>
      </c>
    </row>
    <row r="140" spans="1:14">
      <c r="A140" s="94"/>
    </row>
    <row r="141" spans="1:14">
      <c r="A141" s="93" t="s">
        <v>181</v>
      </c>
    </row>
    <row r="142" spans="1:14" s="91" customFormat="1">
      <c r="A142" s="95" t="s">
        <v>413</v>
      </c>
    </row>
    <row r="143" spans="1:14">
      <c r="A143" s="94" t="s">
        <v>100</v>
      </c>
    </row>
    <row r="144" spans="1:14">
      <c r="A144" s="94" t="s">
        <v>101</v>
      </c>
    </row>
    <row r="146" spans="1:14">
      <c r="A146" s="93" t="s">
        <v>94</v>
      </c>
    </row>
    <row r="147" spans="1:14">
      <c r="A147" s="96" t="s">
        <v>180</v>
      </c>
    </row>
    <row r="148" spans="1:14">
      <c r="A148" s="96" t="s">
        <v>408</v>
      </c>
    </row>
    <row r="149" spans="1:14">
      <c r="A149" s="94"/>
    </row>
    <row r="151" spans="1:14">
      <c r="A151" s="90" t="s">
        <v>205</v>
      </c>
      <c r="B151" s="87"/>
      <c r="C151" s="87"/>
      <c r="D151" s="87"/>
      <c r="E151" s="87"/>
      <c r="F151" s="87"/>
      <c r="G151" s="87"/>
      <c r="H151" s="87"/>
      <c r="I151" s="87"/>
      <c r="J151" s="87"/>
      <c r="K151" s="87"/>
      <c r="L151" s="87"/>
      <c r="M151" s="87"/>
      <c r="N151" s="87"/>
    </row>
    <row r="152" spans="1:14">
      <c r="A152" s="96" t="s">
        <v>412</v>
      </c>
    </row>
    <row r="153" spans="1:14">
      <c r="A153" s="96" t="s">
        <v>227</v>
      </c>
    </row>
    <row r="154" spans="1:14">
      <c r="A154" s="96" t="s">
        <v>226</v>
      </c>
    </row>
    <row r="155" spans="1:14">
      <c r="A155" s="96" t="s">
        <v>228</v>
      </c>
    </row>
    <row r="156" spans="1:14">
      <c r="A156" s="96" t="s">
        <v>406</v>
      </c>
    </row>
    <row r="157" spans="1:14">
      <c r="A157" s="96"/>
    </row>
    <row r="158" spans="1:14">
      <c r="A158" s="96"/>
    </row>
    <row r="159" spans="1:14">
      <c r="A159" s="90" t="s">
        <v>246</v>
      </c>
      <c r="B159" s="87"/>
      <c r="C159" s="87"/>
      <c r="D159" s="87"/>
      <c r="E159" s="87"/>
      <c r="F159" s="87"/>
      <c r="G159" s="87"/>
      <c r="H159" s="87"/>
      <c r="I159" s="87"/>
      <c r="J159" s="87"/>
      <c r="K159" s="87"/>
      <c r="L159" s="87"/>
      <c r="M159" s="87"/>
      <c r="N159" s="87"/>
    </row>
    <row r="160" spans="1:14">
      <c r="A160" s="94" t="s">
        <v>210</v>
      </c>
    </row>
    <row r="161" spans="1:1">
      <c r="A161" s="94"/>
    </row>
    <row r="162" spans="1:1">
      <c r="A162" s="95" t="s">
        <v>215</v>
      </c>
    </row>
    <row r="163" spans="1:1">
      <c r="A163" s="94" t="s">
        <v>212</v>
      </c>
    </row>
    <row r="164" spans="1:1">
      <c r="A164" s="94" t="s">
        <v>213</v>
      </c>
    </row>
    <row r="165" spans="1:1" ht="22" customHeight="1">
      <c r="A165" s="131" t="s">
        <v>216</v>
      </c>
    </row>
    <row r="166" spans="1:1">
      <c r="A166" s="96" t="s">
        <v>273</v>
      </c>
    </row>
    <row r="167" spans="1:1">
      <c r="A167" s="94" t="s">
        <v>211</v>
      </c>
    </row>
    <row r="168" spans="1:1">
      <c r="A168" s="94"/>
    </row>
    <row r="169" spans="1:1">
      <c r="A169" s="94" t="s">
        <v>214</v>
      </c>
    </row>
    <row r="170" spans="1:1">
      <c r="A170" s="94" t="s">
        <v>265</v>
      </c>
    </row>
    <row r="171" spans="1:1">
      <c r="A171" s="94"/>
    </row>
    <row r="172" spans="1:1">
      <c r="A172" s="95" t="s">
        <v>217</v>
      </c>
    </row>
    <row r="173" spans="1:1">
      <c r="A173" s="88" t="s">
        <v>221</v>
      </c>
    </row>
    <row r="174" spans="1:1">
      <c r="A174" s="88" t="s">
        <v>218</v>
      </c>
    </row>
    <row r="175" spans="1:1">
      <c r="A175" s="88" t="s">
        <v>219</v>
      </c>
    </row>
    <row r="176" spans="1:1">
      <c r="A176" s="88" t="s">
        <v>220</v>
      </c>
    </row>
    <row r="178" spans="1:14">
      <c r="A178" s="95" t="s">
        <v>222</v>
      </c>
    </row>
    <row r="179" spans="1:14">
      <c r="A179" s="88" t="s">
        <v>221</v>
      </c>
    </row>
    <row r="180" spans="1:14">
      <c r="A180" s="88" t="s">
        <v>223</v>
      </c>
    </row>
    <row r="181" spans="1:14">
      <c r="A181" s="88" t="s">
        <v>224</v>
      </c>
    </row>
    <row r="182" spans="1:14">
      <c r="A182" s="88" t="s">
        <v>225</v>
      </c>
    </row>
    <row r="183" spans="1:14">
      <c r="A183" s="94"/>
    </row>
    <row r="184" spans="1:14">
      <c r="A184" s="94"/>
    </row>
    <row r="185" spans="1:14">
      <c r="A185" s="90" t="s">
        <v>119</v>
      </c>
      <c r="B185" s="87"/>
      <c r="C185" s="87"/>
      <c r="D185" s="87"/>
      <c r="E185" s="87"/>
      <c r="F185" s="87"/>
      <c r="G185" s="87"/>
      <c r="H185" s="87"/>
      <c r="I185" s="87"/>
      <c r="J185" s="87"/>
      <c r="K185" s="87"/>
      <c r="L185" s="87"/>
      <c r="M185" s="87"/>
      <c r="N185" s="87"/>
    </row>
    <row r="186" spans="1:14">
      <c r="A186" s="94" t="s">
        <v>102</v>
      </c>
    </row>
    <row r="187" spans="1:14">
      <c r="A187" s="94" t="s">
        <v>404</v>
      </c>
    </row>
    <row r="188" spans="1:14">
      <c r="A188" s="94"/>
    </row>
    <row r="189" spans="1:14">
      <c r="A189" s="94" t="s">
        <v>402</v>
      </c>
    </row>
    <row r="190" spans="1:14">
      <c r="A190" s="94" t="s">
        <v>403</v>
      </c>
    </row>
    <row r="191" spans="1:14">
      <c r="A191" s="94"/>
    </row>
    <row r="192" spans="1:14">
      <c r="A192" s="93" t="s">
        <v>103</v>
      </c>
    </row>
    <row r="193" spans="1:14">
      <c r="A193" s="94" t="s">
        <v>104</v>
      </c>
    </row>
    <row r="194" spans="1:14">
      <c r="A194" s="94" t="s">
        <v>105</v>
      </c>
    </row>
    <row r="195" spans="1:14">
      <c r="A195" s="96" t="s">
        <v>293</v>
      </c>
    </row>
    <row r="198" spans="1:14">
      <c r="A198" s="90" t="s">
        <v>387</v>
      </c>
      <c r="B198" s="87"/>
      <c r="C198" s="87"/>
      <c r="D198" s="87"/>
      <c r="E198" s="87"/>
      <c r="F198" s="87"/>
      <c r="G198" s="87"/>
      <c r="H198" s="87"/>
      <c r="I198" s="87"/>
      <c r="J198" s="87"/>
      <c r="K198" s="87"/>
      <c r="L198" s="87"/>
      <c r="M198" s="87"/>
      <c r="N198" s="87"/>
    </row>
    <row r="199" spans="1:14">
      <c r="A199" s="93" t="s">
        <v>103</v>
      </c>
    </row>
    <row r="200" spans="1:14">
      <c r="A200" s="94" t="s">
        <v>409</v>
      </c>
    </row>
    <row r="201" spans="1:14">
      <c r="A201" s="94"/>
    </row>
    <row r="202" spans="1:14">
      <c r="A202" s="93" t="s">
        <v>106</v>
      </c>
    </row>
    <row r="203" spans="1:14">
      <c r="A203" s="94" t="s">
        <v>301</v>
      </c>
    </row>
    <row r="204" spans="1:14" s="111" customFormat="1">
      <c r="A204" s="115"/>
    </row>
    <row r="205" spans="1:14">
      <c r="A205" s="94"/>
    </row>
    <row r="206" spans="1:14">
      <c r="A206" s="93" t="s">
        <v>175</v>
      </c>
    </row>
    <row r="207" spans="1:14">
      <c r="A207" s="94"/>
    </row>
    <row r="208" spans="1:14">
      <c r="A208" s="94"/>
    </row>
    <row r="209" spans="1:2">
      <c r="A209" s="118" t="s">
        <v>29</v>
      </c>
    </row>
    <row r="210" spans="1:2">
      <c r="A210" s="94" t="s">
        <v>294</v>
      </c>
    </row>
    <row r="211" spans="1:2">
      <c r="A211" s="94"/>
    </row>
    <row r="212" spans="1:2">
      <c r="A212" s="118" t="s">
        <v>30</v>
      </c>
    </row>
    <row r="213" spans="1:2">
      <c r="A213" s="95" t="s">
        <v>243</v>
      </c>
    </row>
    <row r="214" spans="1:2">
      <c r="A214" s="119" t="s">
        <v>231</v>
      </c>
      <c r="B214" s="96" t="s">
        <v>230</v>
      </c>
    </row>
    <row r="215" spans="1:2">
      <c r="B215" s="96"/>
    </row>
    <row r="216" spans="1:2">
      <c r="A216" s="94" t="s">
        <v>244</v>
      </c>
    </row>
    <row r="217" spans="1:2">
      <c r="A217" s="96" t="s">
        <v>231</v>
      </c>
      <c r="B217" s="96" t="s">
        <v>232</v>
      </c>
    </row>
    <row r="218" spans="1:2">
      <c r="A218" s="96"/>
      <c r="B218" s="96" t="s">
        <v>233</v>
      </c>
    </row>
    <row r="219" spans="1:2">
      <c r="A219" s="96" t="s">
        <v>231</v>
      </c>
      <c r="B219" s="96" t="s">
        <v>234</v>
      </c>
    </row>
    <row r="220" spans="1:2">
      <c r="A220" s="96"/>
      <c r="B220" s="96" t="s">
        <v>235</v>
      </c>
    </row>
    <row r="221" spans="1:2">
      <c r="A221" s="93"/>
    </row>
    <row r="222" spans="1:2">
      <c r="A222" s="118" t="s">
        <v>286</v>
      </c>
    </row>
    <row r="223" spans="1:2">
      <c r="A223" s="96" t="s">
        <v>236</v>
      </c>
    </row>
    <row r="224" spans="1:2">
      <c r="A224" s="96" t="s">
        <v>237</v>
      </c>
    </row>
    <row r="225" spans="1:2" ht="7" customHeight="1">
      <c r="A225" s="118"/>
    </row>
    <row r="226" spans="1:2">
      <c r="A226" s="96" t="s">
        <v>231</v>
      </c>
      <c r="B226" s="88" t="s">
        <v>238</v>
      </c>
    </row>
    <row r="227" spans="1:2">
      <c r="A227" s="96" t="s">
        <v>231</v>
      </c>
      <c r="B227" s="88" t="s">
        <v>287</v>
      </c>
    </row>
    <row r="228" spans="1:2">
      <c r="A228" s="96" t="s">
        <v>231</v>
      </c>
      <c r="B228" s="88" t="s">
        <v>247</v>
      </c>
    </row>
    <row r="229" spans="1:2">
      <c r="A229" s="96"/>
    </row>
    <row r="230" spans="1:2">
      <c r="A230" s="96" t="s">
        <v>239</v>
      </c>
    </row>
    <row r="231" spans="1:2" ht="7" customHeight="1">
      <c r="A231" s="118"/>
    </row>
    <row r="232" spans="1:2">
      <c r="A232" s="96" t="s">
        <v>231</v>
      </c>
      <c r="B232" s="88" t="s">
        <v>240</v>
      </c>
    </row>
    <row r="233" spans="1:2">
      <c r="A233" s="96"/>
      <c r="B233" s="96" t="s">
        <v>248</v>
      </c>
    </row>
    <row r="234" spans="1:2">
      <c r="A234" s="96" t="s">
        <v>231</v>
      </c>
      <c r="B234" s="88" t="s">
        <v>241</v>
      </c>
    </row>
    <row r="235" spans="1:2">
      <c r="A235" s="96"/>
      <c r="B235" s="88" t="s">
        <v>248</v>
      </c>
    </row>
    <row r="236" spans="1:2">
      <c r="A236" s="96" t="s">
        <v>231</v>
      </c>
      <c r="B236" s="88" t="s">
        <v>242</v>
      </c>
    </row>
    <row r="237" spans="1:2">
      <c r="A237" s="96"/>
      <c r="B237" s="88" t="s">
        <v>248</v>
      </c>
    </row>
    <row r="238" spans="1:2">
      <c r="A238" s="96" t="s">
        <v>288</v>
      </c>
    </row>
    <row r="239" spans="1:2">
      <c r="A239" s="96"/>
    </row>
    <row r="240" spans="1:2">
      <c r="A240" s="93" t="s">
        <v>107</v>
      </c>
    </row>
    <row r="241" spans="1:1">
      <c r="A241" s="94" t="s">
        <v>108</v>
      </c>
    </row>
    <row r="242" spans="1:1">
      <c r="A242" s="88" t="s">
        <v>109</v>
      </c>
    </row>
    <row r="243" spans="1:1">
      <c r="A243" s="88" t="s">
        <v>110</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59" display="Geräte / Anlagen / Infrastruktur" xr:uid="{1772165F-8DDC-2D40-98D5-166A6BF0C4B6}"/>
    <hyperlink ref="A7:D7" location="'Wegleitung Kalkulation'!A118" display="Sachkosten" xr:uid="{5058713D-03A0-924B-8CB5-4010F8E60BDA}"/>
    <hyperlink ref="A8:D8" location="'Wegleitung Kalkulation'!A133" display="Subcontracting" xr:uid="{A744A1DE-2408-F947-B67F-89F61C049DCE}"/>
    <hyperlink ref="A9:D9" location="'Wegleitung Kalkulation'!A151" display="Praxispartner" xr:uid="{11934BF5-FE8C-EF46-A4B1-51DC542F2C47}"/>
    <hyperlink ref="A11:D11" location="'Wegleitung Kalkulation'!A185" display="Kalkulation Overhead" xr:uid="{847B180F-A447-8944-8562-682D6672DDA2}"/>
    <hyperlink ref="A12:D12" location="'Wegleitung Kalkulation'!A198"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17.05.2023 / ds</oddFooter>
  </headerFooter>
  <rowBreaks count="3" manualBreakCount="3">
    <brk id="32" max="16383" man="1"/>
    <brk id="71" max="16383" man="1"/>
    <brk id="19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pageSetUpPr fitToPage="1"/>
  </sheetPr>
  <dimension ref="A1:I44"/>
  <sheetViews>
    <sheetView zoomScale="160" zoomScaleNormal="160" workbookViewId="0">
      <selection activeCell="D7" sqref="D7:D15"/>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2.6640625" style="1" bestFit="1" customWidth="1"/>
    <col min="9" max="9" width="13.5" style="1" bestFit="1" customWidth="1"/>
    <col min="10" max="16384" width="10.83203125" style="1"/>
  </cols>
  <sheetData>
    <row r="1" spans="1:9" ht="26">
      <c r="A1" s="338" t="s">
        <v>342</v>
      </c>
      <c r="B1" s="338"/>
      <c r="C1" s="338"/>
      <c r="D1" s="338"/>
      <c r="E1" s="338"/>
      <c r="F1" s="338"/>
    </row>
    <row r="3" spans="1:9" ht="15">
      <c r="A3" s="5" t="s">
        <v>51</v>
      </c>
      <c r="B3" s="6" t="s">
        <v>52</v>
      </c>
      <c r="C3" s="6" t="s">
        <v>53</v>
      </c>
      <c r="D3" s="6" t="s">
        <v>54</v>
      </c>
      <c r="E3" s="6" t="s">
        <v>55</v>
      </c>
      <c r="F3" s="6" t="s">
        <v>56</v>
      </c>
    </row>
    <row r="4" spans="1:9" ht="15">
      <c r="A4" s="7"/>
      <c r="B4" s="8" t="s">
        <v>57</v>
      </c>
      <c r="C4" s="8" t="s">
        <v>58</v>
      </c>
      <c r="D4" s="8"/>
      <c r="E4" s="8"/>
    </row>
    <row r="5" spans="1:9" ht="15">
      <c r="A5" s="9"/>
      <c r="B5" s="10" t="s">
        <v>59</v>
      </c>
      <c r="C5" s="10" t="s">
        <v>60</v>
      </c>
      <c r="D5" s="10" t="s">
        <v>60</v>
      </c>
      <c r="E5" s="10" t="s">
        <v>60</v>
      </c>
      <c r="F5" s="10" t="s">
        <v>60</v>
      </c>
    </row>
    <row r="6" spans="1:9">
      <c r="A6" s="11"/>
      <c r="B6" s="12"/>
      <c r="C6" s="13"/>
      <c r="D6" s="14"/>
      <c r="E6" s="15"/>
      <c r="F6" s="16"/>
    </row>
    <row r="7" spans="1:9">
      <c r="A7" s="11" t="s">
        <v>61</v>
      </c>
      <c r="B7" s="12">
        <v>120</v>
      </c>
      <c r="C7" s="13">
        <v>1705</v>
      </c>
      <c r="D7" s="14">
        <f>+B7*C7</f>
        <v>204600</v>
      </c>
      <c r="E7" s="15">
        <f>+D7/12</f>
        <v>17050</v>
      </c>
      <c r="F7" s="16">
        <f>+B7*8.4</f>
        <v>1008</v>
      </c>
      <c r="I7" s="268"/>
    </row>
    <row r="8" spans="1:9">
      <c r="A8" s="11" t="s">
        <v>45</v>
      </c>
      <c r="B8" s="12">
        <v>100</v>
      </c>
      <c r="C8" s="13">
        <v>1705</v>
      </c>
      <c r="D8" s="14">
        <f t="shared" ref="D8:D15" si="0">+B8*C8</f>
        <v>170500</v>
      </c>
      <c r="E8" s="15">
        <f t="shared" ref="E8:E15" si="1">+D8/12</f>
        <v>14208.333333333334</v>
      </c>
      <c r="F8" s="16">
        <f t="shared" ref="F8:F15" si="2">+B8*8.4</f>
        <v>840</v>
      </c>
      <c r="I8" s="268"/>
    </row>
    <row r="9" spans="1:9">
      <c r="A9" s="11" t="s">
        <v>47</v>
      </c>
      <c r="B9" s="12">
        <v>65</v>
      </c>
      <c r="C9" s="13">
        <v>1850</v>
      </c>
      <c r="D9" s="14">
        <f t="shared" si="0"/>
        <v>120250</v>
      </c>
      <c r="E9" s="15">
        <f t="shared" si="1"/>
        <v>10020.833333333334</v>
      </c>
      <c r="F9" s="16">
        <f t="shared" si="2"/>
        <v>546</v>
      </c>
      <c r="H9" s="14"/>
      <c r="I9" s="268"/>
    </row>
    <row r="10" spans="1:9">
      <c r="A10" s="11" t="s">
        <v>62</v>
      </c>
      <c r="B10" s="12">
        <v>55</v>
      </c>
      <c r="C10" s="13">
        <v>1850</v>
      </c>
      <c r="D10" s="14">
        <f t="shared" si="0"/>
        <v>101750</v>
      </c>
      <c r="E10" s="15">
        <f t="shared" si="1"/>
        <v>8479.1666666666661</v>
      </c>
      <c r="F10" s="16">
        <f t="shared" si="2"/>
        <v>462</v>
      </c>
      <c r="H10" s="14"/>
      <c r="I10" s="268"/>
    </row>
    <row r="11" spans="1:9">
      <c r="A11" s="11" t="s">
        <v>63</v>
      </c>
      <c r="B11" s="12">
        <v>100</v>
      </c>
      <c r="C11" s="13">
        <v>1850</v>
      </c>
      <c r="D11" s="14">
        <f t="shared" si="0"/>
        <v>185000</v>
      </c>
      <c r="E11" s="15">
        <f t="shared" si="1"/>
        <v>15416.666666666666</v>
      </c>
      <c r="F11" s="16">
        <f t="shared" si="2"/>
        <v>840</v>
      </c>
      <c r="H11" s="14"/>
      <c r="I11" s="268"/>
    </row>
    <row r="12" spans="1:9">
      <c r="A12" s="11" t="s">
        <v>64</v>
      </c>
      <c r="B12" s="12">
        <v>65</v>
      </c>
      <c r="C12" s="13">
        <v>1850</v>
      </c>
      <c r="D12" s="14">
        <f t="shared" si="0"/>
        <v>120250</v>
      </c>
      <c r="E12" s="15">
        <f t="shared" si="1"/>
        <v>10020.833333333334</v>
      </c>
      <c r="F12" s="16">
        <f t="shared" si="2"/>
        <v>546</v>
      </c>
      <c r="H12" s="14"/>
      <c r="I12" s="268"/>
    </row>
    <row r="13" spans="1:9">
      <c r="A13" s="11" t="s">
        <v>65</v>
      </c>
      <c r="B13" s="12">
        <v>55</v>
      </c>
      <c r="C13" s="13">
        <v>1850</v>
      </c>
      <c r="D13" s="14">
        <f t="shared" si="0"/>
        <v>101750</v>
      </c>
      <c r="E13" s="15">
        <f t="shared" si="1"/>
        <v>8479.1666666666661</v>
      </c>
      <c r="F13" s="16">
        <f t="shared" si="2"/>
        <v>462</v>
      </c>
      <c r="H13" s="14"/>
      <c r="I13" s="268"/>
    </row>
    <row r="14" spans="1:9">
      <c r="A14" s="11" t="s">
        <v>66</v>
      </c>
      <c r="B14" s="12">
        <v>40</v>
      </c>
      <c r="C14" s="13">
        <v>1850</v>
      </c>
      <c r="D14" s="14">
        <f t="shared" si="0"/>
        <v>74000</v>
      </c>
      <c r="E14" s="15">
        <f t="shared" si="1"/>
        <v>6166.666666666667</v>
      </c>
      <c r="F14" s="16">
        <f t="shared" si="2"/>
        <v>336</v>
      </c>
      <c r="H14" s="14"/>
      <c r="I14" s="268"/>
    </row>
    <row r="15" spans="1:9">
      <c r="A15" s="17" t="s">
        <v>67</v>
      </c>
      <c r="B15" s="18">
        <v>15</v>
      </c>
      <c r="C15" s="19">
        <v>1850</v>
      </c>
      <c r="D15" s="20">
        <f t="shared" si="0"/>
        <v>27750</v>
      </c>
      <c r="E15" s="21">
        <f t="shared" si="1"/>
        <v>2312.5</v>
      </c>
      <c r="F15" s="22">
        <f t="shared" si="2"/>
        <v>126</v>
      </c>
      <c r="H15" s="14"/>
      <c r="I15" s="268"/>
    </row>
    <row r="16" spans="1:9">
      <c r="F16" s="16"/>
      <c r="G16" s="16"/>
    </row>
    <row r="17" spans="1:7">
      <c r="A17" s="23" t="s">
        <v>68</v>
      </c>
      <c r="B17" s="24"/>
      <c r="C17" s="24" t="s">
        <v>69</v>
      </c>
      <c r="D17" s="25"/>
      <c r="E17" s="2"/>
      <c r="F17" s="2"/>
      <c r="G17" s="26"/>
    </row>
    <row r="18" spans="1:7">
      <c r="A18" s="27"/>
      <c r="B18" s="28"/>
      <c r="C18" s="28" t="s">
        <v>70</v>
      </c>
      <c r="D18" s="29"/>
      <c r="G18" s="30"/>
    </row>
    <row r="19" spans="1:7">
      <c r="A19" s="31"/>
      <c r="B19" s="32"/>
      <c r="C19" s="32" t="s">
        <v>71</v>
      </c>
      <c r="D19" s="33"/>
      <c r="E19" s="34"/>
      <c r="F19" s="34"/>
      <c r="G19" s="35"/>
    </row>
    <row r="20" spans="1:7">
      <c r="A20" s="36"/>
      <c r="B20" s="36"/>
      <c r="C20" s="29"/>
      <c r="D20" s="29"/>
    </row>
    <row r="21" spans="1:7">
      <c r="A21" s="23" t="s">
        <v>72</v>
      </c>
      <c r="B21" s="24"/>
      <c r="C21" s="24" t="s">
        <v>73</v>
      </c>
      <c r="D21" s="25"/>
      <c r="E21" s="2"/>
      <c r="F21" s="2"/>
      <c r="G21" s="26"/>
    </row>
    <row r="22" spans="1:7">
      <c r="A22" s="27"/>
      <c r="B22" s="28"/>
      <c r="C22" s="28" t="s">
        <v>74</v>
      </c>
      <c r="D22" s="29"/>
      <c r="G22" s="30"/>
    </row>
    <row r="23" spans="1:7">
      <c r="A23" s="27"/>
      <c r="B23" s="28"/>
      <c r="C23" s="28" t="s">
        <v>75</v>
      </c>
      <c r="D23" s="29"/>
      <c r="G23" s="30"/>
    </row>
    <row r="24" spans="1:7">
      <c r="A24" s="27"/>
      <c r="B24" s="28"/>
      <c r="C24" s="28" t="s">
        <v>76</v>
      </c>
      <c r="D24" s="29"/>
      <c r="G24" s="30"/>
    </row>
    <row r="25" spans="1:7">
      <c r="A25" s="31"/>
      <c r="B25" s="32"/>
      <c r="C25" s="32" t="s">
        <v>77</v>
      </c>
      <c r="D25" s="33"/>
      <c r="E25" s="34"/>
      <c r="F25" s="34"/>
      <c r="G25" s="35"/>
    </row>
    <row r="26" spans="1:7">
      <c r="A26" s="36"/>
      <c r="B26" s="36"/>
      <c r="C26" s="29"/>
      <c r="D26" s="29"/>
    </row>
    <row r="27" spans="1:7">
      <c r="A27" s="37" t="s">
        <v>78</v>
      </c>
      <c r="B27" s="38"/>
      <c r="C27" s="38" t="s">
        <v>79</v>
      </c>
      <c r="D27" s="39"/>
      <c r="E27" s="3"/>
      <c r="F27" s="3"/>
      <c r="G27" s="40"/>
    </row>
    <row r="29" spans="1:7">
      <c r="A29" s="4" t="s">
        <v>80</v>
      </c>
    </row>
    <row r="30" spans="1:7">
      <c r="A30" s="1" t="s">
        <v>46</v>
      </c>
    </row>
    <row r="31" spans="1:7">
      <c r="A31" s="1" t="s">
        <v>48</v>
      </c>
    </row>
    <row r="32" spans="1:7">
      <c r="A32" s="1" t="s">
        <v>49</v>
      </c>
    </row>
    <row r="33" spans="1:1">
      <c r="A33" s="1" t="s">
        <v>50</v>
      </c>
    </row>
    <row r="37" spans="1:1">
      <c r="A37" s="4" t="s">
        <v>81</v>
      </c>
    </row>
    <row r="38" spans="1:1">
      <c r="A38" s="1">
        <v>1</v>
      </c>
    </row>
    <row r="39" spans="1:1">
      <c r="A39" s="1">
        <v>1.5</v>
      </c>
    </row>
    <row r="40" spans="1:1">
      <c r="A40" s="1">
        <v>1.8</v>
      </c>
    </row>
    <row r="41" spans="1:1">
      <c r="A41" s="1">
        <v>2</v>
      </c>
    </row>
    <row r="42" spans="1:1">
      <c r="A42" s="1">
        <v>2.1</v>
      </c>
    </row>
    <row r="43" spans="1:1">
      <c r="A43" s="1">
        <v>2.2000000000000002</v>
      </c>
    </row>
    <row r="44" spans="1:1">
      <c r="A44"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pageSetUpPr fitToPage="1"/>
  </sheetPr>
  <dimension ref="A1:H40"/>
  <sheetViews>
    <sheetView zoomScale="160" zoomScaleNormal="160" workbookViewId="0">
      <selection activeCell="C37" sqref="C37"/>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343</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14">
        <f>+B7*C7</f>
        <v>171000</v>
      </c>
      <c r="E7" s="15">
        <f>+D7/12</f>
        <v>14250</v>
      </c>
      <c r="F7" s="16">
        <f>+B7*8.4</f>
        <v>756</v>
      </c>
    </row>
    <row r="8" spans="1:8">
      <c r="A8" s="11" t="s">
        <v>45</v>
      </c>
      <c r="B8" s="12">
        <v>90</v>
      </c>
      <c r="C8" s="13">
        <v>1900</v>
      </c>
      <c r="D8" s="14">
        <f t="shared" ref="D8:D11" si="0">+B8*C8</f>
        <v>171000</v>
      </c>
      <c r="E8" s="15">
        <f t="shared" ref="E8:E11" si="1">+D8/12</f>
        <v>14250</v>
      </c>
      <c r="F8" s="16">
        <f t="shared" ref="F8:F11" si="2">+B8*8.4</f>
        <v>756</v>
      </c>
    </row>
    <row r="9" spans="1:8">
      <c r="A9" s="11" t="s">
        <v>47</v>
      </c>
      <c r="B9" s="12">
        <v>70</v>
      </c>
      <c r="C9" s="13">
        <v>1900</v>
      </c>
      <c r="D9" s="14">
        <f t="shared" si="0"/>
        <v>133000</v>
      </c>
      <c r="E9" s="15">
        <f t="shared" si="1"/>
        <v>11083.333333333334</v>
      </c>
      <c r="F9" s="16">
        <f t="shared" si="2"/>
        <v>588</v>
      </c>
      <c r="H9" s="14"/>
    </row>
    <row r="10" spans="1:8">
      <c r="A10" s="11" t="s">
        <v>157</v>
      </c>
      <c r="B10" s="12">
        <v>40</v>
      </c>
      <c r="C10" s="13">
        <v>1900</v>
      </c>
      <c r="D10" s="14">
        <f t="shared" si="0"/>
        <v>76000</v>
      </c>
      <c r="E10" s="15">
        <f t="shared" si="1"/>
        <v>6333.333333333333</v>
      </c>
      <c r="F10" s="16">
        <f t="shared" si="2"/>
        <v>336</v>
      </c>
      <c r="H10" s="14"/>
    </row>
    <row r="11" spans="1:8">
      <c r="A11" s="17" t="s">
        <v>266</v>
      </c>
      <c r="B11" s="18">
        <v>55</v>
      </c>
      <c r="C11" s="19">
        <v>1900</v>
      </c>
      <c r="D11" s="20">
        <f t="shared" si="0"/>
        <v>104500</v>
      </c>
      <c r="E11" s="21">
        <f t="shared" si="1"/>
        <v>8708.3333333333339</v>
      </c>
      <c r="F11" s="22">
        <f t="shared" si="2"/>
        <v>462</v>
      </c>
      <c r="H11" s="14"/>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heetViews>
  <sheetFormatPr baseColWidth="10" defaultRowHeight="16"/>
  <cols>
    <col min="1" max="1" width="1.6640625" style="47" customWidth="1"/>
    <col min="2" max="2" width="31.6640625" style="47" customWidth="1"/>
    <col min="3" max="3" width="11.33203125" style="47" bestFit="1" customWidth="1"/>
    <col min="4" max="6" width="14.33203125" style="48" customWidth="1"/>
    <col min="7" max="7" width="7.6640625" style="48" customWidth="1"/>
    <col min="8" max="9" width="14.33203125" style="48" customWidth="1"/>
    <col min="10" max="16384" width="10.83203125" style="47"/>
  </cols>
  <sheetData>
    <row r="1" spans="2:9" s="42" customFormat="1" ht="18">
      <c r="B1" s="41" t="s">
        <v>133</v>
      </c>
      <c r="C1" s="41"/>
      <c r="D1" s="41"/>
      <c r="E1" s="41"/>
      <c r="G1" s="41"/>
      <c r="H1" s="43" t="s">
        <v>134</v>
      </c>
    </row>
    <row r="2" spans="2:9" s="42" customFormat="1">
      <c r="B2" s="44" t="s">
        <v>135</v>
      </c>
      <c r="D2" s="45"/>
      <c r="E2" s="45"/>
      <c r="F2" s="45"/>
      <c r="G2" s="45"/>
      <c r="H2" s="46" t="s">
        <v>136</v>
      </c>
      <c r="I2" s="45"/>
    </row>
    <row r="4" spans="2:9">
      <c r="B4" s="47" t="s">
        <v>137</v>
      </c>
    </row>
    <row r="5" spans="2:9">
      <c r="B5" s="49" t="s">
        <v>138</v>
      </c>
    </row>
    <row r="6" spans="2:9">
      <c r="B6" s="49" t="s">
        <v>139</v>
      </c>
    </row>
    <row r="7" spans="2:9">
      <c r="B7" s="49" t="s">
        <v>140</v>
      </c>
    </row>
    <row r="8" spans="2:9">
      <c r="B8" s="49" t="s">
        <v>141</v>
      </c>
    </row>
    <row r="9" spans="2:9">
      <c r="B9" s="49" t="s">
        <v>142</v>
      </c>
    </row>
    <row r="10" spans="2:9">
      <c r="B10" s="49" t="s">
        <v>143</v>
      </c>
    </row>
    <row r="12" spans="2:9" s="51" customFormat="1" ht="24.5" customHeight="1">
      <c r="B12" s="339" t="s">
        <v>144</v>
      </c>
      <c r="C12" s="339"/>
      <c r="D12" s="339"/>
      <c r="E12" s="339"/>
      <c r="F12" s="339"/>
      <c r="G12" s="50"/>
      <c r="H12" s="50"/>
      <c r="I12" s="50"/>
    </row>
    <row r="13" spans="2:9" ht="25.25" customHeight="1" thickBot="1"/>
    <row r="14" spans="2:9" s="57" customFormat="1" ht="35" customHeight="1" thickBot="1">
      <c r="B14" s="52" t="s">
        <v>145</v>
      </c>
      <c r="C14" s="53" t="s">
        <v>146</v>
      </c>
      <c r="D14" s="54" t="s">
        <v>147</v>
      </c>
      <c r="E14" s="55" t="s">
        <v>148</v>
      </c>
      <c r="F14" s="56" t="s">
        <v>149</v>
      </c>
    </row>
    <row r="15" spans="2:9" s="62" customFormat="1" ht="25.25" customHeight="1">
      <c r="B15" s="342" t="s">
        <v>150</v>
      </c>
      <c r="C15" s="58" t="s">
        <v>151</v>
      </c>
      <c r="D15" s="59">
        <v>80</v>
      </c>
      <c r="E15" s="60">
        <v>110</v>
      </c>
      <c r="F15" s="61">
        <v>140</v>
      </c>
    </row>
    <row r="16" spans="2:9" s="62" customFormat="1" ht="25.25" customHeight="1" thickBot="1">
      <c r="B16" s="341"/>
      <c r="C16" s="63" t="s">
        <v>152</v>
      </c>
      <c r="D16" s="64">
        <v>140</v>
      </c>
      <c r="E16" s="65">
        <v>190</v>
      </c>
      <c r="F16" s="66">
        <v>240</v>
      </c>
    </row>
    <row r="17" spans="2:9" ht="25.25" customHeight="1" thickBot="1"/>
    <row r="18" spans="2:9" s="57" customFormat="1" ht="35" customHeight="1" thickBot="1">
      <c r="B18" s="52" t="s">
        <v>145</v>
      </c>
      <c r="C18" s="53" t="s">
        <v>146</v>
      </c>
      <c r="D18" s="54" t="s">
        <v>153</v>
      </c>
      <c r="E18" s="55" t="s">
        <v>154</v>
      </c>
      <c r="F18" s="56" t="s">
        <v>155</v>
      </c>
    </row>
    <row r="19" spans="2:9" s="62" customFormat="1" ht="25.25" customHeight="1">
      <c r="B19" s="340" t="s">
        <v>156</v>
      </c>
      <c r="C19" s="58" t="s">
        <v>151</v>
      </c>
      <c r="D19" s="67">
        <v>50</v>
      </c>
      <c r="E19" s="60">
        <v>70</v>
      </c>
      <c r="F19" s="68">
        <v>100</v>
      </c>
    </row>
    <row r="20" spans="2:9" s="62" customFormat="1" ht="25.25" customHeight="1" thickBot="1">
      <c r="B20" s="341"/>
      <c r="C20" s="63" t="s">
        <v>152</v>
      </c>
      <c r="D20" s="69">
        <v>90</v>
      </c>
      <c r="E20" s="65">
        <v>120</v>
      </c>
      <c r="F20" s="70">
        <v>170</v>
      </c>
    </row>
    <row r="21" spans="2:9" s="62" customFormat="1" ht="25.25" customHeight="1">
      <c r="B21" s="340" t="s">
        <v>157</v>
      </c>
      <c r="C21" s="58" t="s">
        <v>151</v>
      </c>
      <c r="D21" s="71">
        <v>50</v>
      </c>
      <c r="E21" s="72">
        <v>70</v>
      </c>
      <c r="F21" s="73"/>
    </row>
    <row r="22" spans="2:9" s="62" customFormat="1" ht="25.25" customHeight="1" thickBot="1">
      <c r="B22" s="341"/>
      <c r="C22" s="63" t="s">
        <v>152</v>
      </c>
      <c r="D22" s="74">
        <v>90</v>
      </c>
      <c r="E22" s="75">
        <v>120</v>
      </c>
      <c r="F22" s="76"/>
    </row>
    <row r="23" spans="2:9" s="62" customFormat="1" ht="25.25" customHeight="1">
      <c r="B23" s="340" t="s">
        <v>158</v>
      </c>
      <c r="C23" s="58" t="s">
        <v>151</v>
      </c>
      <c r="D23" s="67">
        <v>50</v>
      </c>
      <c r="E23" s="60">
        <v>70</v>
      </c>
      <c r="F23" s="68">
        <v>100</v>
      </c>
    </row>
    <row r="24" spans="2:9" s="62" customFormat="1" ht="25.25" customHeight="1" thickBot="1">
      <c r="B24" s="341"/>
      <c r="C24" s="63" t="s">
        <v>152</v>
      </c>
      <c r="D24" s="69">
        <v>90</v>
      </c>
      <c r="E24" s="65">
        <v>120</v>
      </c>
      <c r="F24" s="70">
        <v>170</v>
      </c>
    </row>
    <row r="25" spans="2:9" ht="25.25" customHeight="1" thickBot="1"/>
    <row r="26" spans="2:9" s="57" customFormat="1" ht="35" customHeight="1" thickBot="1">
      <c r="B26" s="52" t="s">
        <v>145</v>
      </c>
      <c r="C26" s="53" t="s">
        <v>146</v>
      </c>
      <c r="D26" s="77" t="s">
        <v>159</v>
      </c>
    </row>
    <row r="27" spans="2:9" s="62" customFormat="1" ht="25.25" customHeight="1">
      <c r="B27" s="340" t="s">
        <v>160</v>
      </c>
      <c r="C27" s="58" t="s">
        <v>151</v>
      </c>
      <c r="D27" s="78">
        <v>20</v>
      </c>
    </row>
    <row r="28" spans="2:9" s="62" customFormat="1" ht="25.25" customHeight="1" thickBot="1">
      <c r="B28" s="341"/>
      <c r="C28" s="63" t="s">
        <v>152</v>
      </c>
      <c r="D28" s="79">
        <v>40</v>
      </c>
    </row>
    <row r="29" spans="2:9" ht="25.25" customHeight="1"/>
    <row r="30" spans="2:9" s="42" customFormat="1" ht="16.25" customHeight="1">
      <c r="B30" s="42" t="s">
        <v>161</v>
      </c>
      <c r="D30" s="45"/>
      <c r="E30" s="45"/>
      <c r="F30" s="45"/>
      <c r="G30" s="45"/>
      <c r="H30" s="45"/>
      <c r="I30" s="45"/>
    </row>
    <row r="31" spans="2:9" s="44" customFormat="1" ht="16.25" customHeight="1">
      <c r="B31" s="44" t="s">
        <v>162</v>
      </c>
      <c r="D31" s="80"/>
      <c r="E31" s="80"/>
      <c r="F31" s="80"/>
      <c r="G31" s="80"/>
      <c r="H31" s="80"/>
      <c r="I31" s="80"/>
    </row>
    <row r="32" spans="2:9" s="42" customFormat="1" ht="16.25" customHeight="1">
      <c r="B32" s="42" t="s">
        <v>163</v>
      </c>
      <c r="D32" s="45"/>
      <c r="E32" s="45"/>
      <c r="F32" s="45"/>
      <c r="G32" s="45"/>
      <c r="H32" s="45"/>
      <c r="I32" s="45"/>
    </row>
    <row r="33" spans="2:9" s="42" customFormat="1" ht="16.25" customHeight="1">
      <c r="B33" s="42" t="s">
        <v>164</v>
      </c>
      <c r="D33" s="45"/>
      <c r="E33" s="45"/>
      <c r="F33" s="45"/>
      <c r="G33" s="45"/>
      <c r="H33" s="45"/>
      <c r="I33" s="45"/>
    </row>
    <row r="34" spans="2:9" ht="16.25" customHeight="1">
      <c r="B34" s="81" t="s">
        <v>165</v>
      </c>
    </row>
  </sheetData>
  <sheetProtection sheet="1" objects="1" scenarios="1"/>
  <mergeCells count="6">
    <mergeCell ref="B27:B28"/>
    <mergeCell ref="B12:F12"/>
    <mergeCell ref="B15:B16"/>
    <mergeCell ref="B19:B20"/>
    <mergeCell ref="B21:B22"/>
    <mergeCell ref="B23:B24"/>
  </mergeCells>
  <pageMargins left="0.78740157480314998" right="0.78740157480314998" top="1.1811023622047201" bottom="0.78740157480314998" header="0.39370078740157499" footer="0.39370078740157499"/>
  <pageSetup paperSize="9" scale="66" orientation="landscape"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90"/>
  <sheetViews>
    <sheetView tabSelected="1" zoomScale="140" zoomScaleNormal="140" workbookViewId="0">
      <pane ySplit="10" topLeftCell="A27" activePane="bottomLeft" state="frozen"/>
      <selection activeCell="A7" sqref="A7:C7"/>
      <selection pane="bottomLeft" activeCell="N61" sqref="N61"/>
    </sheetView>
  </sheetViews>
  <sheetFormatPr baseColWidth="10" defaultRowHeight="16" outlineLevelRow="1" outlineLevelCol="1"/>
  <cols>
    <col min="1" max="1" width="47" style="152" customWidth="1"/>
    <col min="2" max="2" width="15.83203125" style="153" customWidth="1"/>
    <col min="3" max="3" width="8.1640625" style="167" bestFit="1" customWidth="1"/>
    <col min="4" max="4" width="2.5" style="152" bestFit="1" customWidth="1"/>
    <col min="5" max="5" width="13.83203125" style="153" customWidth="1" outlineLevel="1"/>
    <col min="6" max="6" width="7" style="154" bestFit="1" customWidth="1" outlineLevel="1"/>
    <col min="7" max="7" width="2.5" style="152" bestFit="1" customWidth="1"/>
    <col min="8" max="8" width="13.83203125" style="153" customWidth="1" outlineLevel="1"/>
    <col min="9" max="9" width="5.6640625" style="154" customWidth="1" outlineLevel="1"/>
    <col min="10" max="10" width="2.5" style="152" bestFit="1" customWidth="1"/>
    <col min="11" max="11" width="13.83203125" style="153" customWidth="1" outlineLevel="1"/>
    <col min="12" max="12" width="5.6640625" style="154" customWidth="1" outlineLevel="1"/>
    <col min="13" max="13" width="2.5" style="152" bestFit="1" customWidth="1"/>
    <col min="14" max="14" width="13.83203125" style="153" customWidth="1" outlineLevel="1"/>
    <col min="15" max="15" width="5.6640625" style="152" bestFit="1" customWidth="1" outlineLevel="1"/>
    <col min="16" max="16" width="68.1640625" style="152" bestFit="1" customWidth="1"/>
    <col min="17" max="16384" width="10.83203125" style="152"/>
  </cols>
  <sheetData>
    <row r="1" spans="1:16">
      <c r="A1" s="155" t="s">
        <v>304</v>
      </c>
      <c r="B1" s="156"/>
      <c r="C1" s="157" t="s">
        <v>305</v>
      </c>
      <c r="D1" s="158"/>
      <c r="E1" s="159"/>
      <c r="F1" s="158"/>
      <c r="G1" s="159"/>
      <c r="H1" s="275"/>
      <c r="I1" s="275"/>
      <c r="K1" s="161" t="s">
        <v>394</v>
      </c>
    </row>
    <row r="2" spans="1:16" ht="16" customHeight="1">
      <c r="A2" s="281"/>
      <c r="B2" s="282"/>
      <c r="C2" s="282"/>
      <c r="D2" s="282"/>
      <c r="E2" s="283"/>
      <c r="F2" s="284"/>
      <c r="G2" s="282"/>
      <c r="H2" s="283"/>
      <c r="I2" s="284"/>
      <c r="J2" s="282"/>
      <c r="K2" s="282"/>
      <c r="L2" s="285"/>
      <c r="M2" s="282"/>
      <c r="N2" s="282"/>
      <c r="O2" s="282"/>
      <c r="P2" s="282"/>
    </row>
    <row r="3" spans="1:16" ht="7" customHeight="1">
      <c r="A3" s="161"/>
      <c r="B3" s="152"/>
      <c r="C3" s="152"/>
      <c r="E3" s="152"/>
      <c r="F3" s="160"/>
      <c r="H3" s="152"/>
      <c r="I3" s="160"/>
      <c r="K3" s="152"/>
      <c r="L3" s="160"/>
      <c r="N3" s="152"/>
    </row>
    <row r="4" spans="1:16" ht="16" customHeight="1">
      <c r="A4" s="286"/>
      <c r="B4" s="221" t="s">
        <v>87</v>
      </c>
      <c r="C4" s="221"/>
      <c r="E4" s="287"/>
      <c r="F4" s="221" t="s">
        <v>374</v>
      </c>
      <c r="G4" s="221"/>
      <c r="H4" s="221"/>
      <c r="I4" s="276"/>
      <c r="K4" s="289">
        <f>E4+(K5*365)</f>
        <v>0</v>
      </c>
      <c r="L4" s="221" t="s">
        <v>334</v>
      </c>
      <c r="M4" s="221"/>
      <c r="N4" s="221"/>
      <c r="O4" s="221"/>
    </row>
    <row r="5" spans="1:16" ht="16" customHeight="1">
      <c r="A5" s="286"/>
      <c r="B5" s="221" t="s">
        <v>88</v>
      </c>
      <c r="C5" s="221"/>
      <c r="E5" s="288"/>
      <c r="F5" s="221" t="s">
        <v>295</v>
      </c>
      <c r="G5" s="221"/>
      <c r="H5" s="221"/>
      <c r="I5" s="276"/>
      <c r="K5" s="290">
        <f>IFERROR(E5/12,0)</f>
        <v>0</v>
      </c>
      <c r="L5" s="221" t="s">
        <v>335</v>
      </c>
      <c r="M5" s="221"/>
      <c r="N5" s="221"/>
      <c r="O5" s="221"/>
    </row>
    <row r="6" spans="1:16">
      <c r="A6" s="286"/>
      <c r="B6" s="221" t="s">
        <v>333</v>
      </c>
      <c r="C6" s="221"/>
      <c r="E6" s="152"/>
      <c r="F6" s="152"/>
      <c r="H6" s="152"/>
      <c r="I6" s="276"/>
    </row>
    <row r="7" spans="1:16" s="277" customFormat="1">
      <c r="A7" s="279"/>
      <c r="B7" s="280"/>
      <c r="C7" s="280"/>
      <c r="E7" s="152"/>
      <c r="F7" s="152"/>
      <c r="G7" s="152"/>
      <c r="H7" s="152"/>
      <c r="I7" s="276"/>
      <c r="K7" s="276"/>
      <c r="L7" s="278"/>
      <c r="N7" s="276"/>
    </row>
    <row r="8" spans="1:16" customFormat="1" ht="8" customHeight="1"/>
    <row r="9" spans="1:16" ht="17" customHeight="1">
      <c r="D9" s="334" t="s">
        <v>21</v>
      </c>
      <c r="E9" s="291">
        <f>IFERROR(E57/$B57, 0)</f>
        <v>0</v>
      </c>
      <c r="F9" s="292"/>
      <c r="G9" s="334" t="s">
        <v>20</v>
      </c>
      <c r="H9" s="291">
        <f>IFERROR(H57/$B57, 0)</f>
        <v>0</v>
      </c>
      <c r="I9" s="292"/>
      <c r="J9" s="334" t="s">
        <v>22</v>
      </c>
      <c r="K9" s="291">
        <f>IFERROR(K57/$B57, 0)</f>
        <v>0</v>
      </c>
      <c r="L9" s="292"/>
      <c r="M9" s="334" t="s">
        <v>28</v>
      </c>
      <c r="N9" s="291">
        <f>IFERROR(N57/$B57, 0)</f>
        <v>0</v>
      </c>
      <c r="O9" s="292"/>
      <c r="P9" s="335" t="s">
        <v>306</v>
      </c>
    </row>
    <row r="10" spans="1:16" s="162" customFormat="1" ht="32" customHeight="1" collapsed="1">
      <c r="A10" s="293" t="s">
        <v>3</v>
      </c>
      <c r="B10" s="294" t="s">
        <v>4</v>
      </c>
      <c r="C10" s="295" t="s">
        <v>1</v>
      </c>
      <c r="D10" s="334"/>
      <c r="E10" s="296" t="s">
        <v>21</v>
      </c>
      <c r="F10" s="297"/>
      <c r="G10" s="334"/>
      <c r="H10" s="296" t="s">
        <v>20</v>
      </c>
      <c r="I10" s="297"/>
      <c r="J10" s="334"/>
      <c r="K10" s="296" t="s">
        <v>22</v>
      </c>
      <c r="L10" s="297"/>
      <c r="M10" s="334"/>
      <c r="N10" s="296" t="s">
        <v>23</v>
      </c>
      <c r="O10" s="297"/>
      <c r="P10" s="336"/>
    </row>
    <row r="11" spans="1:16" outlineLevel="1">
      <c r="A11" s="298" t="s">
        <v>111</v>
      </c>
      <c r="B11" s="299">
        <f t="shared" ref="B11:B18" si="0">SUM(E11,H11,K11,N11)</f>
        <v>0</v>
      </c>
      <c r="C11" s="300">
        <f>IFERROR(B11/B$20, 0)</f>
        <v>0</v>
      </c>
      <c r="D11" s="88"/>
      <c r="E11" s="301">
        <f>SUM(Personalkosten!H25)</f>
        <v>0</v>
      </c>
      <c r="F11" s="302"/>
      <c r="G11" s="88"/>
      <c r="H11" s="301"/>
      <c r="I11" s="302"/>
      <c r="J11" s="88"/>
      <c r="K11" s="301"/>
      <c r="L11" s="302"/>
      <c r="M11" s="88"/>
      <c r="N11" s="301"/>
      <c r="O11" s="302"/>
      <c r="P11" s="303" t="s">
        <v>124</v>
      </c>
    </row>
    <row r="12" spans="1:16" outlineLevel="1">
      <c r="A12" s="298" t="s">
        <v>112</v>
      </c>
      <c r="B12" s="299">
        <f t="shared" si="0"/>
        <v>0</v>
      </c>
      <c r="C12" s="300">
        <f t="shared" ref="C12:C18" si="1">IFERROR(B12/B$20, 0)</f>
        <v>0</v>
      </c>
      <c r="D12" s="88"/>
      <c r="E12" s="301"/>
      <c r="F12" s="302"/>
      <c r="G12" s="88"/>
      <c r="H12" s="301">
        <f>SUM(Personalkosten!H42)</f>
        <v>0</v>
      </c>
      <c r="I12" s="302"/>
      <c r="J12" s="88"/>
      <c r="K12" s="301"/>
      <c r="L12" s="302"/>
      <c r="M12" s="88"/>
      <c r="N12" s="301"/>
      <c r="O12" s="302"/>
      <c r="P12" s="303" t="s">
        <v>124</v>
      </c>
    </row>
    <row r="13" spans="1:16" outlineLevel="1">
      <c r="A13" s="298" t="s">
        <v>113</v>
      </c>
      <c r="B13" s="299">
        <f t="shared" si="0"/>
        <v>0</v>
      </c>
      <c r="C13" s="300">
        <f t="shared" si="1"/>
        <v>0</v>
      </c>
      <c r="D13" s="88"/>
      <c r="E13" s="301"/>
      <c r="F13" s="302"/>
      <c r="G13" s="88"/>
      <c r="H13" s="301"/>
      <c r="I13" s="302"/>
      <c r="J13" s="88"/>
      <c r="K13" s="301">
        <f>SUM(Personalkosten!H59)</f>
        <v>0</v>
      </c>
      <c r="L13" s="302"/>
      <c r="M13" s="88"/>
      <c r="N13" s="301"/>
      <c r="O13" s="302"/>
      <c r="P13" s="303" t="s">
        <v>124</v>
      </c>
    </row>
    <row r="14" spans="1:16" outlineLevel="1">
      <c r="A14" s="298" t="s">
        <v>114</v>
      </c>
      <c r="B14" s="299">
        <f t="shared" si="0"/>
        <v>0</v>
      </c>
      <c r="C14" s="300">
        <f t="shared" si="1"/>
        <v>0</v>
      </c>
      <c r="D14" s="88"/>
      <c r="E14" s="301"/>
      <c r="F14" s="302"/>
      <c r="G14" s="88"/>
      <c r="H14" s="301"/>
      <c r="I14" s="302"/>
      <c r="J14" s="88"/>
      <c r="K14" s="301"/>
      <c r="L14" s="302"/>
      <c r="M14" s="88"/>
      <c r="N14" s="301">
        <f>SUM(Personalkosten!H76)</f>
        <v>0</v>
      </c>
      <c r="O14" s="302"/>
      <c r="P14" s="303" t="s">
        <v>124</v>
      </c>
    </row>
    <row r="15" spans="1:16" outlineLevel="1">
      <c r="A15" s="304" t="s">
        <v>10</v>
      </c>
      <c r="B15" s="299">
        <f t="shared" si="0"/>
        <v>0</v>
      </c>
      <c r="C15" s="300">
        <f t="shared" si="1"/>
        <v>0</v>
      </c>
      <c r="D15" s="88"/>
      <c r="E15" s="305"/>
      <c r="F15" s="302"/>
      <c r="G15" s="88"/>
      <c r="H15" s="305"/>
      <c r="I15" s="302"/>
      <c r="J15" s="88"/>
      <c r="K15" s="305"/>
      <c r="L15" s="302"/>
      <c r="M15" s="88"/>
      <c r="N15" s="305"/>
      <c r="O15" s="302"/>
      <c r="P15" s="303" t="s">
        <v>127</v>
      </c>
    </row>
    <row r="16" spans="1:16" outlineLevel="1">
      <c r="A16" s="304" t="s">
        <v>10</v>
      </c>
      <c r="B16" s="299">
        <f t="shared" si="0"/>
        <v>0</v>
      </c>
      <c r="C16" s="300">
        <f t="shared" si="1"/>
        <v>0</v>
      </c>
      <c r="D16" s="88"/>
      <c r="E16" s="305"/>
      <c r="F16" s="302"/>
      <c r="G16" s="88"/>
      <c r="H16" s="305"/>
      <c r="I16" s="302"/>
      <c r="J16" s="88"/>
      <c r="K16" s="305"/>
      <c r="L16" s="302"/>
      <c r="M16" s="88"/>
      <c r="N16" s="305"/>
      <c r="O16" s="302"/>
      <c r="P16" s="303" t="s">
        <v>127</v>
      </c>
    </row>
    <row r="17" spans="1:16" outlineLevel="1">
      <c r="A17" s="304" t="s">
        <v>10</v>
      </c>
      <c r="B17" s="299">
        <f t="shared" si="0"/>
        <v>0</v>
      </c>
      <c r="C17" s="300">
        <f t="shared" si="1"/>
        <v>0</v>
      </c>
      <c r="D17" s="88"/>
      <c r="E17" s="305"/>
      <c r="F17" s="302"/>
      <c r="G17" s="88"/>
      <c r="H17" s="305"/>
      <c r="I17" s="302"/>
      <c r="J17" s="88"/>
      <c r="K17" s="305"/>
      <c r="L17" s="302"/>
      <c r="M17" s="88"/>
      <c r="N17" s="305"/>
      <c r="O17" s="302"/>
      <c r="P17" s="303" t="s">
        <v>127</v>
      </c>
    </row>
    <row r="18" spans="1:16" outlineLevel="1">
      <c r="A18" s="304" t="s">
        <v>10</v>
      </c>
      <c r="B18" s="299">
        <f t="shared" si="0"/>
        <v>0</v>
      </c>
      <c r="C18" s="300">
        <f t="shared" si="1"/>
        <v>0</v>
      </c>
      <c r="D18" s="88"/>
      <c r="E18" s="305"/>
      <c r="F18" s="302"/>
      <c r="G18" s="88"/>
      <c r="H18" s="305"/>
      <c r="I18" s="302"/>
      <c r="J18" s="88"/>
      <c r="K18" s="305"/>
      <c r="L18" s="302"/>
      <c r="M18" s="88"/>
      <c r="N18" s="305"/>
      <c r="O18" s="302"/>
      <c r="P18" s="303" t="s">
        <v>127</v>
      </c>
    </row>
    <row r="19" spans="1:16" ht="11" customHeight="1" outlineLevel="1">
      <c r="A19" s="306" t="s">
        <v>388</v>
      </c>
      <c r="B19" s="307"/>
      <c r="C19" s="308"/>
      <c r="D19" s="88"/>
      <c r="E19" s="309"/>
      <c r="F19" s="302"/>
      <c r="G19" s="88"/>
      <c r="H19" s="309"/>
      <c r="I19" s="302"/>
      <c r="J19" s="88"/>
      <c r="K19" s="309"/>
      <c r="L19" s="302"/>
      <c r="M19" s="88"/>
      <c r="N19" s="309"/>
      <c r="O19" s="302"/>
      <c r="P19" s="310"/>
    </row>
    <row r="20" spans="1:16" s="182" customFormat="1" ht="19">
      <c r="A20" s="311" t="s">
        <v>9</v>
      </c>
      <c r="B20" s="312">
        <f>SUM(B11:B19)</f>
        <v>0</v>
      </c>
      <c r="C20" s="313">
        <f>IFERROR(B20/B$57, 0)</f>
        <v>0</v>
      </c>
      <c r="D20" s="181"/>
      <c r="E20" s="314">
        <f>SUM(E11:E19)</f>
        <v>0</v>
      </c>
      <c r="F20" s="327">
        <f>IFERROR(E20/E$57, 0)</f>
        <v>0</v>
      </c>
      <c r="G20" s="181"/>
      <c r="H20" s="314">
        <f>SUM(H11:H19)</f>
        <v>0</v>
      </c>
      <c r="I20" s="327">
        <f>IFERROR(H20/H$57, 0)</f>
        <v>0</v>
      </c>
      <c r="J20" s="181"/>
      <c r="K20" s="314">
        <f>SUM(K11:K19)</f>
        <v>0</v>
      </c>
      <c r="L20" s="327">
        <f>IFERROR(K20/K$57, 0)</f>
        <v>0</v>
      </c>
      <c r="M20" s="181"/>
      <c r="N20" s="314">
        <f>SUM(N11:N19)</f>
        <v>0</v>
      </c>
      <c r="O20" s="327">
        <f>IFERROR(N20/N$57, 0)</f>
        <v>0</v>
      </c>
      <c r="P20" s="315"/>
    </row>
    <row r="21" spans="1:16" outlineLevel="1">
      <c r="A21" s="316" t="s">
        <v>10</v>
      </c>
      <c r="B21" s="299">
        <f t="shared" ref="B21:B26" si="2">SUM(E21,H21,K21,N21)</f>
        <v>0</v>
      </c>
      <c r="C21" s="300">
        <f>IFERROR(B21/B$28, 0)</f>
        <v>0</v>
      </c>
      <c r="D21" s="88"/>
      <c r="E21" s="317"/>
      <c r="F21" s="302"/>
      <c r="G21" s="88"/>
      <c r="H21" s="317"/>
      <c r="I21" s="302"/>
      <c r="J21" s="88"/>
      <c r="K21" s="317"/>
      <c r="L21" s="302"/>
      <c r="M21" s="88"/>
      <c r="N21" s="317"/>
      <c r="O21" s="302"/>
      <c r="P21" s="318" t="s">
        <v>127</v>
      </c>
    </row>
    <row r="22" spans="1:16" outlineLevel="1">
      <c r="A22" s="316" t="s">
        <v>10</v>
      </c>
      <c r="B22" s="299">
        <f t="shared" si="2"/>
        <v>0</v>
      </c>
      <c r="C22" s="300">
        <f t="shared" ref="C22:C26" si="3">IFERROR(B22/B$28, 0)</f>
        <v>0</v>
      </c>
      <c r="D22" s="88"/>
      <c r="E22" s="317"/>
      <c r="F22" s="302"/>
      <c r="G22" s="88"/>
      <c r="H22" s="317"/>
      <c r="I22" s="302"/>
      <c r="J22" s="88"/>
      <c r="K22" s="317"/>
      <c r="L22" s="302"/>
      <c r="M22" s="88"/>
      <c r="N22" s="317"/>
      <c r="O22" s="302"/>
      <c r="P22" s="318" t="s">
        <v>127</v>
      </c>
    </row>
    <row r="23" spans="1:16" outlineLevel="1">
      <c r="A23" s="316" t="s">
        <v>10</v>
      </c>
      <c r="B23" s="299">
        <f t="shared" si="2"/>
        <v>0</v>
      </c>
      <c r="C23" s="300">
        <f t="shared" si="3"/>
        <v>0</v>
      </c>
      <c r="D23" s="88"/>
      <c r="E23" s="317"/>
      <c r="F23" s="302"/>
      <c r="G23" s="88"/>
      <c r="H23" s="317"/>
      <c r="I23" s="302"/>
      <c r="J23" s="88"/>
      <c r="K23" s="317"/>
      <c r="L23" s="302"/>
      <c r="M23" s="88"/>
      <c r="N23" s="317"/>
      <c r="O23" s="302"/>
      <c r="P23" s="318" t="s">
        <v>127</v>
      </c>
    </row>
    <row r="24" spans="1:16" outlineLevel="1">
      <c r="A24" s="316" t="s">
        <v>10</v>
      </c>
      <c r="B24" s="299">
        <f t="shared" si="2"/>
        <v>0</v>
      </c>
      <c r="C24" s="300">
        <f t="shared" si="3"/>
        <v>0</v>
      </c>
      <c r="D24" s="88"/>
      <c r="E24" s="317"/>
      <c r="F24" s="302"/>
      <c r="G24" s="88"/>
      <c r="H24" s="317"/>
      <c r="I24" s="302"/>
      <c r="J24" s="88"/>
      <c r="K24" s="317"/>
      <c r="L24" s="302"/>
      <c r="M24" s="88"/>
      <c r="N24" s="317"/>
      <c r="O24" s="302"/>
      <c r="P24" s="318" t="s">
        <v>127</v>
      </c>
    </row>
    <row r="25" spans="1:16" outlineLevel="1">
      <c r="A25" s="316" t="s">
        <v>10</v>
      </c>
      <c r="B25" s="299">
        <f t="shared" si="2"/>
        <v>0</v>
      </c>
      <c r="C25" s="300">
        <f t="shared" si="3"/>
        <v>0</v>
      </c>
      <c r="D25" s="88"/>
      <c r="E25" s="317"/>
      <c r="F25" s="302"/>
      <c r="G25" s="88"/>
      <c r="H25" s="317"/>
      <c r="I25" s="302"/>
      <c r="J25" s="88"/>
      <c r="K25" s="317"/>
      <c r="L25" s="302"/>
      <c r="M25" s="88"/>
      <c r="N25" s="317"/>
      <c r="O25" s="302"/>
      <c r="P25" s="318" t="s">
        <v>127</v>
      </c>
    </row>
    <row r="26" spans="1:16" outlineLevel="1">
      <c r="A26" s="316" t="s">
        <v>10</v>
      </c>
      <c r="B26" s="299">
        <f t="shared" si="2"/>
        <v>0</v>
      </c>
      <c r="C26" s="300">
        <f t="shared" si="3"/>
        <v>0</v>
      </c>
      <c r="D26" s="88"/>
      <c r="E26" s="317"/>
      <c r="F26" s="302"/>
      <c r="G26" s="88"/>
      <c r="H26" s="317"/>
      <c r="I26" s="302"/>
      <c r="J26" s="88"/>
      <c r="K26" s="317"/>
      <c r="L26" s="302"/>
      <c r="M26" s="88"/>
      <c r="N26" s="317"/>
      <c r="O26" s="302"/>
      <c r="P26" s="318" t="s">
        <v>127</v>
      </c>
    </row>
    <row r="27" spans="1:16" ht="11" customHeight="1" outlineLevel="1">
      <c r="A27" s="319" t="s">
        <v>395</v>
      </c>
      <c r="B27" s="307"/>
      <c r="C27" s="308"/>
      <c r="D27" s="88"/>
      <c r="E27" s="320"/>
      <c r="F27" s="302"/>
      <c r="G27" s="88"/>
      <c r="H27" s="320"/>
      <c r="I27" s="302"/>
      <c r="J27" s="88"/>
      <c r="K27" s="320"/>
      <c r="L27" s="302"/>
      <c r="M27" s="88"/>
      <c r="N27" s="320"/>
      <c r="O27" s="302"/>
      <c r="P27" s="320"/>
    </row>
    <row r="28" spans="1:16" s="182" customFormat="1" ht="19">
      <c r="A28" s="321" t="s">
        <v>5</v>
      </c>
      <c r="B28" s="322">
        <f>SUM(B21:B27)</f>
        <v>0</v>
      </c>
      <c r="C28" s="323">
        <f>IFERROR(B28/B$57, 0)</f>
        <v>0</v>
      </c>
      <c r="D28" s="181"/>
      <c r="E28" s="324">
        <f>SUM(E21:E27)</f>
        <v>0</v>
      </c>
      <c r="F28" s="325">
        <f>IFERROR(E28/E$57, 0)</f>
        <v>0</v>
      </c>
      <c r="G28" s="181"/>
      <c r="H28" s="324">
        <f>SUM(H21:H27)</f>
        <v>0</v>
      </c>
      <c r="I28" s="325">
        <f>IFERROR(H28/H$57, 0)</f>
        <v>0</v>
      </c>
      <c r="J28" s="181"/>
      <c r="K28" s="324">
        <f>SUM(K21:K27)</f>
        <v>0</v>
      </c>
      <c r="L28" s="325">
        <f>IFERROR(K28/K$57, 0)</f>
        <v>0</v>
      </c>
      <c r="M28" s="181"/>
      <c r="N28" s="324">
        <f>SUM(N21:N27)</f>
        <v>0</v>
      </c>
      <c r="O28" s="325">
        <f>IFERROR(N28/N$57, 0)</f>
        <v>0</v>
      </c>
      <c r="P28" s="326"/>
    </row>
    <row r="29" spans="1:16" outlineLevel="1">
      <c r="A29" s="304" t="s">
        <v>32</v>
      </c>
      <c r="B29" s="299">
        <f>SUM(E29,H29,K29,N29)</f>
        <v>0</v>
      </c>
      <c r="C29" s="300">
        <f>IFERROR(B29/B$35, 0)</f>
        <v>0</v>
      </c>
      <c r="D29" s="88"/>
      <c r="E29" s="305"/>
      <c r="F29" s="302"/>
      <c r="G29" s="88"/>
      <c r="H29" s="305"/>
      <c r="I29" s="302"/>
      <c r="J29" s="88"/>
      <c r="K29" s="305"/>
      <c r="L29" s="302"/>
      <c r="M29" s="88"/>
      <c r="N29" s="305"/>
      <c r="O29" s="302"/>
      <c r="P29" s="303" t="s">
        <v>18</v>
      </c>
    </row>
    <row r="30" spans="1:16" outlineLevel="1">
      <c r="A30" s="304" t="s">
        <v>33</v>
      </c>
      <c r="B30" s="299">
        <f>SUM(E30,H30,K30,N30)</f>
        <v>0</v>
      </c>
      <c r="C30" s="300">
        <f t="shared" ref="C30:C33" si="4">IFERROR(B30/B$35, 0)</f>
        <v>0</v>
      </c>
      <c r="D30" s="88"/>
      <c r="E30" s="305"/>
      <c r="F30" s="302"/>
      <c r="G30" s="88"/>
      <c r="H30" s="305"/>
      <c r="I30" s="302"/>
      <c r="J30" s="88"/>
      <c r="K30" s="305"/>
      <c r="L30" s="302"/>
      <c r="M30" s="88"/>
      <c r="N30" s="305"/>
      <c r="O30" s="302"/>
      <c r="P30" s="303" t="s">
        <v>18</v>
      </c>
    </row>
    <row r="31" spans="1:16" outlineLevel="1">
      <c r="A31" s="304" t="s">
        <v>34</v>
      </c>
      <c r="B31" s="299">
        <f>SUM(E31,H31,K31,N31)</f>
        <v>0</v>
      </c>
      <c r="C31" s="300">
        <f>IFERROR(B31/B$35, 0)</f>
        <v>0</v>
      </c>
      <c r="D31" s="88"/>
      <c r="E31" s="305"/>
      <c r="F31" s="302"/>
      <c r="G31" s="88"/>
      <c r="H31" s="305"/>
      <c r="I31" s="302"/>
      <c r="J31" s="88"/>
      <c r="K31" s="305"/>
      <c r="L31" s="302"/>
      <c r="M31" s="88"/>
      <c r="N31" s="305"/>
      <c r="O31" s="302"/>
      <c r="P31" s="303" t="s">
        <v>18</v>
      </c>
    </row>
    <row r="32" spans="1:16" outlineLevel="1">
      <c r="A32" s="304" t="s">
        <v>35</v>
      </c>
      <c r="B32" s="299">
        <f>SUM(E32,H32,K32,N32)</f>
        <v>0</v>
      </c>
      <c r="C32" s="300">
        <f>IFERROR(B32/B$35, 0)</f>
        <v>0</v>
      </c>
      <c r="D32" s="88"/>
      <c r="E32" s="305"/>
      <c r="F32" s="302"/>
      <c r="G32" s="88"/>
      <c r="H32" s="305"/>
      <c r="I32" s="302"/>
      <c r="J32" s="88"/>
      <c r="K32" s="305"/>
      <c r="L32" s="302"/>
      <c r="M32" s="88"/>
      <c r="N32" s="305"/>
      <c r="O32" s="302"/>
      <c r="P32" s="303" t="s">
        <v>18</v>
      </c>
    </row>
    <row r="33" spans="1:16" outlineLevel="1">
      <c r="A33" s="304"/>
      <c r="B33" s="299">
        <f>SUM(E33,H33,K33,N33)</f>
        <v>0</v>
      </c>
      <c r="C33" s="300">
        <f t="shared" si="4"/>
        <v>0</v>
      </c>
      <c r="D33" s="88"/>
      <c r="E33" s="305"/>
      <c r="F33" s="302"/>
      <c r="G33" s="88"/>
      <c r="H33" s="305"/>
      <c r="I33" s="302"/>
      <c r="J33" s="88"/>
      <c r="K33" s="305"/>
      <c r="L33" s="302"/>
      <c r="M33" s="88"/>
      <c r="N33" s="305"/>
      <c r="O33" s="302"/>
      <c r="P33" s="303" t="s">
        <v>11</v>
      </c>
    </row>
    <row r="34" spans="1:16" ht="11" customHeight="1" outlineLevel="1">
      <c r="A34" s="306" t="s">
        <v>396</v>
      </c>
      <c r="B34" s="307"/>
      <c r="C34" s="308"/>
      <c r="D34" s="88"/>
      <c r="E34" s="310"/>
      <c r="F34" s="302"/>
      <c r="G34" s="88"/>
      <c r="H34" s="310"/>
      <c r="I34" s="302"/>
      <c r="J34" s="88"/>
      <c r="K34" s="310"/>
      <c r="L34" s="302"/>
      <c r="M34" s="88"/>
      <c r="N34" s="310"/>
      <c r="O34" s="302"/>
      <c r="P34" s="310"/>
    </row>
    <row r="35" spans="1:16" s="182" customFormat="1" ht="19">
      <c r="A35" s="311" t="s">
        <v>6</v>
      </c>
      <c r="B35" s="312">
        <f>SUM(B29:B34)</f>
        <v>0</v>
      </c>
      <c r="C35" s="313">
        <f>IFERROR(B35/B$57, 0)</f>
        <v>0</v>
      </c>
      <c r="D35" s="181"/>
      <c r="E35" s="314">
        <f>SUM(E29:E34)</f>
        <v>0</v>
      </c>
      <c r="F35" s="327">
        <f>IFERROR(E35/E$57, 0)</f>
        <v>0</v>
      </c>
      <c r="G35" s="181"/>
      <c r="H35" s="314">
        <f>SUM(H29:H34)</f>
        <v>0</v>
      </c>
      <c r="I35" s="327">
        <f>IFERROR(H35/H$57, 0)</f>
        <v>0</v>
      </c>
      <c r="J35" s="181"/>
      <c r="K35" s="314">
        <f>SUM(K29:K34)</f>
        <v>0</v>
      </c>
      <c r="L35" s="327">
        <f>IFERROR(K35/K$57, 0)</f>
        <v>0</v>
      </c>
      <c r="M35" s="181"/>
      <c r="N35" s="314">
        <f>SUM(N29:N34)</f>
        <v>0</v>
      </c>
      <c r="O35" s="327">
        <f>IFERROR(N35/N$57, 0)</f>
        <v>0</v>
      </c>
      <c r="P35" s="315"/>
    </row>
    <row r="36" spans="1:16" outlineLevel="1">
      <c r="A36" s="316" t="s">
        <v>10</v>
      </c>
      <c r="B36" s="299">
        <f>SUM(E36,H36,K36,N36)</f>
        <v>0</v>
      </c>
      <c r="C36" s="300">
        <f>IFERROR(B36/B$42, 0)</f>
        <v>0</v>
      </c>
      <c r="D36" s="88"/>
      <c r="E36" s="317"/>
      <c r="F36" s="302"/>
      <c r="G36" s="88"/>
      <c r="H36" s="317"/>
      <c r="I36" s="302"/>
      <c r="J36" s="88"/>
      <c r="K36" s="317"/>
      <c r="L36" s="302"/>
      <c r="M36" s="88"/>
      <c r="N36" s="317"/>
      <c r="O36" s="302"/>
      <c r="P36" s="318" t="s">
        <v>18</v>
      </c>
    </row>
    <row r="37" spans="1:16" outlineLevel="1">
      <c r="A37" s="316" t="s">
        <v>10</v>
      </c>
      <c r="B37" s="299">
        <f>SUM(E37,H37,K37,N37)</f>
        <v>0</v>
      </c>
      <c r="C37" s="300">
        <f t="shared" ref="C37:C40" si="5">IFERROR(B37/B$42, 0)</f>
        <v>0</v>
      </c>
      <c r="D37" s="88"/>
      <c r="E37" s="317"/>
      <c r="F37" s="302"/>
      <c r="G37" s="88"/>
      <c r="H37" s="317"/>
      <c r="I37" s="302"/>
      <c r="J37" s="88"/>
      <c r="K37" s="317"/>
      <c r="L37" s="302"/>
      <c r="M37" s="88"/>
      <c r="N37" s="317"/>
      <c r="O37" s="302"/>
      <c r="P37" s="318" t="s">
        <v>18</v>
      </c>
    </row>
    <row r="38" spans="1:16" outlineLevel="1">
      <c r="A38" s="316" t="s">
        <v>10</v>
      </c>
      <c r="B38" s="299">
        <f>SUM(E38,H38,K38,N38)</f>
        <v>0</v>
      </c>
      <c r="C38" s="300">
        <f t="shared" si="5"/>
        <v>0</v>
      </c>
      <c r="D38" s="88"/>
      <c r="E38" s="317"/>
      <c r="F38" s="302"/>
      <c r="G38" s="88"/>
      <c r="H38" s="317"/>
      <c r="I38" s="302"/>
      <c r="J38" s="88"/>
      <c r="K38" s="317"/>
      <c r="L38" s="302"/>
      <c r="M38" s="88"/>
      <c r="N38" s="317"/>
      <c r="O38" s="302"/>
      <c r="P38" s="318" t="s">
        <v>18</v>
      </c>
    </row>
    <row r="39" spans="1:16" outlineLevel="1">
      <c r="A39" s="316" t="s">
        <v>10</v>
      </c>
      <c r="B39" s="299">
        <f>SUM(E39,H39,K39,N39)</f>
        <v>0</v>
      </c>
      <c r="C39" s="300">
        <f>IFERROR(B39/B$42, 0)</f>
        <v>0</v>
      </c>
      <c r="D39" s="88"/>
      <c r="E39" s="317"/>
      <c r="F39" s="302"/>
      <c r="G39" s="88"/>
      <c r="H39" s="317"/>
      <c r="I39" s="302"/>
      <c r="J39" s="88"/>
      <c r="K39" s="317"/>
      <c r="L39" s="302"/>
      <c r="M39" s="88"/>
      <c r="N39" s="317"/>
      <c r="O39" s="302"/>
      <c r="P39" s="318" t="s">
        <v>18</v>
      </c>
    </row>
    <row r="40" spans="1:16" outlineLevel="1">
      <c r="A40" s="316" t="s">
        <v>10</v>
      </c>
      <c r="B40" s="299">
        <f>SUM(E40,H40,K40,N40)</f>
        <v>0</v>
      </c>
      <c r="C40" s="300">
        <f t="shared" si="5"/>
        <v>0</v>
      </c>
      <c r="D40" s="88"/>
      <c r="E40" s="317"/>
      <c r="F40" s="302"/>
      <c r="G40" s="88"/>
      <c r="H40" s="317"/>
      <c r="I40" s="302"/>
      <c r="J40" s="88"/>
      <c r="K40" s="317"/>
      <c r="L40" s="302"/>
      <c r="M40" s="88"/>
      <c r="N40" s="317"/>
      <c r="O40" s="302"/>
      <c r="P40" s="318" t="s">
        <v>11</v>
      </c>
    </row>
    <row r="41" spans="1:16" ht="11" customHeight="1" outlineLevel="1">
      <c r="A41" s="319" t="s">
        <v>397</v>
      </c>
      <c r="B41" s="307"/>
      <c r="C41" s="308"/>
      <c r="D41" s="88"/>
      <c r="E41" s="320"/>
      <c r="F41" s="302"/>
      <c r="G41" s="88"/>
      <c r="H41" s="320"/>
      <c r="I41" s="302"/>
      <c r="J41" s="88"/>
      <c r="K41" s="320"/>
      <c r="L41" s="302"/>
      <c r="M41" s="88"/>
      <c r="N41" s="320"/>
      <c r="O41" s="302"/>
      <c r="P41" s="320"/>
    </row>
    <row r="42" spans="1:16" s="182" customFormat="1" ht="19">
      <c r="A42" s="321" t="s">
        <v>7</v>
      </c>
      <c r="B42" s="322">
        <f>SUM(B36:B41)</f>
        <v>0</v>
      </c>
      <c r="C42" s="323">
        <f>IFERROR(B42/B$57, 0)</f>
        <v>0</v>
      </c>
      <c r="D42" s="181"/>
      <c r="E42" s="324">
        <f>SUM(E36:E41)</f>
        <v>0</v>
      </c>
      <c r="F42" s="325">
        <f>IFERROR(E42/E$57, 0)</f>
        <v>0</v>
      </c>
      <c r="G42" s="181"/>
      <c r="H42" s="324">
        <f>SUM(H36:H41)</f>
        <v>0</v>
      </c>
      <c r="I42" s="325">
        <f>IFERROR(H42/H$57, 0)</f>
        <v>0</v>
      </c>
      <c r="J42" s="181"/>
      <c r="K42" s="324">
        <f>SUM(K36:K41)</f>
        <v>0</v>
      </c>
      <c r="L42" s="325">
        <f>IFERROR(K42/K$57, 0)</f>
        <v>0</v>
      </c>
      <c r="M42" s="181"/>
      <c r="N42" s="324">
        <f>SUM(N36:N41)</f>
        <v>0</v>
      </c>
      <c r="O42" s="325">
        <f>IFERROR(N42/N$57, 0)</f>
        <v>0</v>
      </c>
      <c r="P42" s="326"/>
    </row>
    <row r="43" spans="1:16" outlineLevel="1">
      <c r="A43" s="304" t="s">
        <v>36</v>
      </c>
      <c r="B43" s="299">
        <f t="shared" ref="B43:B48" si="6">SUM(E43,H43,K43,N43)</f>
        <v>0</v>
      </c>
      <c r="C43" s="300">
        <f>IFERROR(B43/B$50, 0)</f>
        <v>0</v>
      </c>
      <c r="D43" s="88"/>
      <c r="E43" s="305"/>
      <c r="F43" s="302"/>
      <c r="G43" s="88"/>
      <c r="H43" s="305"/>
      <c r="I43" s="302"/>
      <c r="J43" s="88"/>
      <c r="K43" s="305"/>
      <c r="L43" s="302"/>
      <c r="M43" s="88"/>
      <c r="N43" s="305"/>
      <c r="O43" s="302"/>
      <c r="P43" s="303" t="s">
        <v>17</v>
      </c>
    </row>
    <row r="44" spans="1:16" outlineLevel="1">
      <c r="A44" s="304" t="s">
        <v>37</v>
      </c>
      <c r="B44" s="299">
        <f t="shared" si="6"/>
        <v>0</v>
      </c>
      <c r="C44" s="300">
        <f t="shared" ref="C44:C48" si="7">IFERROR(B44/B$50, 0)</f>
        <v>0</v>
      </c>
      <c r="D44" s="88"/>
      <c r="E44" s="305"/>
      <c r="F44" s="302"/>
      <c r="G44" s="88"/>
      <c r="H44" s="305"/>
      <c r="I44" s="302"/>
      <c r="J44" s="88"/>
      <c r="K44" s="305"/>
      <c r="L44" s="302"/>
      <c r="M44" s="88"/>
      <c r="N44" s="305"/>
      <c r="O44" s="302"/>
      <c r="P44" s="303" t="s">
        <v>12</v>
      </c>
    </row>
    <row r="45" spans="1:16" outlineLevel="1">
      <c r="A45" s="304" t="s">
        <v>10</v>
      </c>
      <c r="B45" s="299">
        <f t="shared" si="6"/>
        <v>0</v>
      </c>
      <c r="C45" s="300">
        <f t="shared" si="7"/>
        <v>0</v>
      </c>
      <c r="D45" s="88"/>
      <c r="E45" s="305"/>
      <c r="F45" s="302"/>
      <c r="G45" s="88"/>
      <c r="H45" s="305"/>
      <c r="I45" s="302"/>
      <c r="J45" s="88"/>
      <c r="K45" s="305"/>
      <c r="L45" s="302"/>
      <c r="M45" s="88"/>
      <c r="N45" s="305"/>
      <c r="O45" s="302"/>
      <c r="P45" s="303" t="s">
        <v>12</v>
      </c>
    </row>
    <row r="46" spans="1:16" outlineLevel="1">
      <c r="A46" s="304" t="s">
        <v>10</v>
      </c>
      <c r="B46" s="299">
        <f t="shared" si="6"/>
        <v>0</v>
      </c>
      <c r="C46" s="300">
        <f t="shared" si="7"/>
        <v>0</v>
      </c>
      <c r="D46" s="88"/>
      <c r="E46" s="305"/>
      <c r="F46" s="302"/>
      <c r="G46" s="88"/>
      <c r="H46" s="305"/>
      <c r="I46" s="302"/>
      <c r="J46" s="88"/>
      <c r="K46" s="305"/>
      <c r="L46" s="302"/>
      <c r="M46" s="88"/>
      <c r="N46" s="305"/>
      <c r="O46" s="302"/>
      <c r="P46" s="303" t="s">
        <v>12</v>
      </c>
    </row>
    <row r="47" spans="1:16" outlineLevel="1">
      <c r="A47" s="304" t="s">
        <v>10</v>
      </c>
      <c r="B47" s="299">
        <f t="shared" si="6"/>
        <v>0</v>
      </c>
      <c r="C47" s="300">
        <f>IFERROR(B47/B$50, 0)</f>
        <v>0</v>
      </c>
      <c r="D47" s="88"/>
      <c r="E47" s="305"/>
      <c r="F47" s="302"/>
      <c r="G47" s="88"/>
      <c r="H47" s="305"/>
      <c r="I47" s="302"/>
      <c r="J47" s="88"/>
      <c r="K47" s="305"/>
      <c r="L47" s="302"/>
      <c r="M47" s="88"/>
      <c r="N47" s="305"/>
      <c r="O47" s="302"/>
      <c r="P47" s="303" t="s">
        <v>12</v>
      </c>
    </row>
    <row r="48" spans="1:16" outlineLevel="1">
      <c r="A48" s="304" t="s">
        <v>10</v>
      </c>
      <c r="B48" s="299">
        <f t="shared" si="6"/>
        <v>0</v>
      </c>
      <c r="C48" s="300">
        <f t="shared" si="7"/>
        <v>0</v>
      </c>
      <c r="D48" s="88"/>
      <c r="E48" s="305"/>
      <c r="F48" s="302"/>
      <c r="G48" s="88"/>
      <c r="H48" s="305"/>
      <c r="I48" s="302"/>
      <c r="J48" s="88"/>
      <c r="K48" s="305"/>
      <c r="L48" s="302"/>
      <c r="M48" s="88"/>
      <c r="N48" s="305"/>
      <c r="O48" s="302"/>
      <c r="P48" s="303" t="s">
        <v>12</v>
      </c>
    </row>
    <row r="49" spans="1:19" ht="11" customHeight="1" outlineLevel="1">
      <c r="A49" s="306" t="s">
        <v>398</v>
      </c>
      <c r="B49" s="307"/>
      <c r="C49" s="308"/>
      <c r="D49" s="88"/>
      <c r="E49" s="310"/>
      <c r="F49" s="302"/>
      <c r="G49" s="88"/>
      <c r="H49" s="310"/>
      <c r="I49" s="302"/>
      <c r="J49" s="88"/>
      <c r="K49" s="310"/>
      <c r="L49" s="302"/>
      <c r="M49" s="88"/>
      <c r="N49" s="310"/>
      <c r="O49" s="302"/>
      <c r="P49" s="310"/>
    </row>
    <row r="50" spans="1:19" s="182" customFormat="1" ht="19">
      <c r="A50" s="328" t="s">
        <v>16</v>
      </c>
      <c r="B50" s="329">
        <f>SUM(B43:B49)</f>
        <v>0</v>
      </c>
      <c r="C50" s="330">
        <f>IFERROR(B50/B$57, 0)</f>
        <v>0</v>
      </c>
      <c r="D50" s="181"/>
      <c r="E50" s="331">
        <f>SUM(E43:E49)</f>
        <v>0</v>
      </c>
      <c r="F50" s="327">
        <f>IFERROR(E50/E$57, 0)</f>
        <v>0</v>
      </c>
      <c r="G50" s="181"/>
      <c r="H50" s="331">
        <f>SUM(H43:H49)</f>
        <v>0</v>
      </c>
      <c r="I50" s="327">
        <f>IFERROR(H50/H$57, 0)</f>
        <v>0</v>
      </c>
      <c r="J50" s="181"/>
      <c r="K50" s="331">
        <f>SUM(K43:K49)</f>
        <v>0</v>
      </c>
      <c r="L50" s="327">
        <f>IFERROR(K50/K$57, 0)</f>
        <v>0</v>
      </c>
      <c r="M50" s="181"/>
      <c r="N50" s="331">
        <f>SUM(N43:N49)</f>
        <v>0</v>
      </c>
      <c r="O50" s="327">
        <f>IFERROR(N50/N$57, 0)</f>
        <v>0</v>
      </c>
      <c r="P50" s="315" t="s">
        <v>15</v>
      </c>
    </row>
    <row r="51" spans="1:19" ht="8" customHeight="1">
      <c r="B51" s="152"/>
      <c r="C51" s="152"/>
      <c r="E51" s="152"/>
      <c r="F51" s="152"/>
      <c r="H51" s="152"/>
      <c r="I51" s="152"/>
      <c r="K51" s="152"/>
      <c r="L51" s="152"/>
      <c r="N51" s="152"/>
    </row>
    <row r="52" spans="1:19" s="182" customFormat="1" ht="19">
      <c r="A52" s="183" t="s">
        <v>274</v>
      </c>
      <c r="B52" s="215">
        <f>SUM(B20,B28,B35,B42,B50)</f>
        <v>0</v>
      </c>
      <c r="C52" s="216"/>
      <c r="D52" s="152"/>
      <c r="E52" s="215">
        <f>SUM(E20,E28,E35,E42,E50)</f>
        <v>0</v>
      </c>
      <c r="F52" s="217"/>
      <c r="G52" s="181"/>
      <c r="H52" s="215">
        <f>SUM(H20,H28,H35,H42,H50)</f>
        <v>0</v>
      </c>
      <c r="I52" s="217"/>
      <c r="J52" s="181"/>
      <c r="K52" s="215">
        <f>SUM(K20,K28,K35,K42,K50)</f>
        <v>0</v>
      </c>
      <c r="L52" s="217"/>
      <c r="M52" s="181"/>
      <c r="N52" s="215">
        <f>SUM(N20,N28,N35,N42,N50)</f>
        <v>0</v>
      </c>
      <c r="O52" s="181"/>
      <c r="P52" s="184"/>
    </row>
    <row r="53" spans="1:19" s="164" customFormat="1">
      <c r="A53" s="185" t="s">
        <v>229</v>
      </c>
      <c r="B53" s="165">
        <f>SUM(E53,H53,K53,N53)</f>
        <v>0</v>
      </c>
      <c r="C53" s="186"/>
      <c r="D53" s="152"/>
      <c r="E53" s="165">
        <f>-E42</f>
        <v>0</v>
      </c>
      <c r="F53" s="197"/>
      <c r="G53" s="152"/>
      <c r="H53" s="165">
        <f>-H42</f>
        <v>0</v>
      </c>
      <c r="I53" s="197"/>
      <c r="J53" s="152"/>
      <c r="K53" s="165">
        <f>-K42</f>
        <v>0</v>
      </c>
      <c r="L53" s="197"/>
      <c r="M53" s="152"/>
      <c r="N53" s="165">
        <f>-N42</f>
        <v>0</v>
      </c>
      <c r="O53" s="152"/>
      <c r="P53" s="218"/>
    </row>
    <row r="54" spans="1:19" s="182" customFormat="1" ht="19">
      <c r="A54" s="183" t="s">
        <v>275</v>
      </c>
      <c r="B54" s="215">
        <f>SUM(B52:B53)</f>
        <v>0</v>
      </c>
      <c r="C54" s="216">
        <v>0.8</v>
      </c>
      <c r="D54" s="152"/>
      <c r="E54" s="215">
        <f>SUM(E52:E53)</f>
        <v>0</v>
      </c>
      <c r="F54" s="217"/>
      <c r="G54" s="181"/>
      <c r="H54" s="215">
        <f>SUM(H52:H53)</f>
        <v>0</v>
      </c>
      <c r="I54" s="217"/>
      <c r="J54" s="181"/>
      <c r="K54" s="215">
        <f>SUM(K52:K53)</f>
        <v>0</v>
      </c>
      <c r="L54" s="217"/>
      <c r="M54" s="181"/>
      <c r="N54" s="215">
        <f>SUM(N52:N53)</f>
        <v>0</v>
      </c>
      <c r="O54" s="181"/>
      <c r="P54" s="184"/>
    </row>
    <row r="55" spans="1:19" ht="5" customHeight="1">
      <c r="B55" s="187"/>
      <c r="C55" s="188"/>
      <c r="E55" s="187"/>
      <c r="H55" s="187"/>
      <c r="K55" s="187"/>
      <c r="N55" s="187"/>
    </row>
    <row r="56" spans="1:19" s="164" customFormat="1">
      <c r="A56" s="185" t="s">
        <v>277</v>
      </c>
      <c r="B56" s="165">
        <f>B54/0.8*0.2</f>
        <v>0</v>
      </c>
      <c r="C56" s="186">
        <v>0.2</v>
      </c>
      <c r="D56" s="152"/>
      <c r="E56" s="165">
        <f>E54/0.8*0.2</f>
        <v>0</v>
      </c>
      <c r="F56" s="154"/>
      <c r="G56" s="152"/>
      <c r="H56" s="165">
        <f>H54/0.8*0.2</f>
        <v>0</v>
      </c>
      <c r="I56" s="154"/>
      <c r="J56" s="152"/>
      <c r="K56" s="165">
        <f>K54/0.8*0.2</f>
        <v>0</v>
      </c>
      <c r="L56" s="154"/>
      <c r="M56" s="152"/>
      <c r="N56" s="165">
        <f>N54/0.8*0.2</f>
        <v>0</v>
      </c>
      <c r="O56" s="152"/>
      <c r="P56" s="166"/>
    </row>
    <row r="57" spans="1:19" s="194" customFormat="1" ht="20">
      <c r="A57" s="189" t="s">
        <v>276</v>
      </c>
      <c r="B57" s="190">
        <f>SUM(B56,B54)</f>
        <v>0</v>
      </c>
      <c r="C57" s="191">
        <v>1</v>
      </c>
      <c r="D57" s="192"/>
      <c r="E57" s="190">
        <f>SUM(E56,E54)</f>
        <v>0</v>
      </c>
      <c r="F57" s="192"/>
      <c r="G57" s="192"/>
      <c r="H57" s="190">
        <f>SUM(H56,H54)</f>
        <v>0</v>
      </c>
      <c r="I57" s="192"/>
      <c r="J57" s="192"/>
      <c r="K57" s="190">
        <f>SUM(K56,K54)</f>
        <v>0</v>
      </c>
      <c r="L57" s="192"/>
      <c r="M57" s="192"/>
      <c r="N57" s="190">
        <f>SUM(N56,N54)</f>
        <v>0</v>
      </c>
      <c r="O57" s="192"/>
      <c r="P57" s="193"/>
    </row>
    <row r="58" spans="1:19">
      <c r="C58" s="332"/>
    </row>
    <row r="59" spans="1:19" ht="19" collapsed="1">
      <c r="A59" s="183" t="s">
        <v>25</v>
      </c>
      <c r="B59" s="195"/>
      <c r="C59" s="196"/>
      <c r="E59" s="187"/>
      <c r="H59" s="187"/>
      <c r="K59" s="187"/>
      <c r="N59" s="187"/>
      <c r="R59" s="169"/>
      <c r="S59" s="170"/>
    </row>
    <row r="60" spans="1:19" s="164" customFormat="1">
      <c r="A60" s="185" t="s">
        <v>13</v>
      </c>
      <c r="B60" s="165">
        <f>SUM(B57)</f>
        <v>0</v>
      </c>
      <c r="C60" s="186">
        <v>1</v>
      </c>
      <c r="E60" s="165">
        <f>SUM(E57:E57)</f>
        <v>0</v>
      </c>
      <c r="F60" s="198">
        <v>1</v>
      </c>
      <c r="H60" s="165">
        <f>SUM(H57:H57)</f>
        <v>0</v>
      </c>
      <c r="I60" s="198">
        <v>1</v>
      </c>
      <c r="K60" s="165">
        <f>SUM(K57:K57)</f>
        <v>0</v>
      </c>
      <c r="L60" s="198">
        <v>1</v>
      </c>
      <c r="N60" s="165">
        <f>SUM(N57:N57)</f>
        <v>0</v>
      </c>
      <c r="O60" s="198">
        <v>1</v>
      </c>
    </row>
    <row r="61" spans="1:19" s="181" customFormat="1" ht="24" customHeight="1">
      <c r="A61" s="212" t="s">
        <v>307</v>
      </c>
      <c r="B61" s="213">
        <f>B60*50%</f>
        <v>0</v>
      </c>
      <c r="C61" s="214">
        <f>IFERROR(B61/B$60, 0)</f>
        <v>0</v>
      </c>
      <c r="D61" s="182"/>
      <c r="E61" s="213">
        <f>E60*50%</f>
        <v>0</v>
      </c>
      <c r="F61" s="214">
        <f>IFERROR(E61/E$60, 0)</f>
        <v>0</v>
      </c>
      <c r="G61" s="182"/>
      <c r="H61" s="213">
        <f>H60*50%</f>
        <v>0</v>
      </c>
      <c r="I61" s="214">
        <f>IFERROR(H61/H$60, 0)</f>
        <v>0</v>
      </c>
      <c r="J61" s="182"/>
      <c r="K61" s="213">
        <f>K60*50%</f>
        <v>0</v>
      </c>
      <c r="L61" s="214">
        <f>IFERROR(K61/K$60, 0)</f>
        <v>0</v>
      </c>
      <c r="M61" s="182"/>
      <c r="N61" s="213">
        <f>N60*50%</f>
        <v>0</v>
      </c>
      <c r="O61" s="214">
        <f>IFERROR(N61/N$60, 0)</f>
        <v>0</v>
      </c>
    </row>
    <row r="62" spans="1:19" s="164" customFormat="1">
      <c r="A62" s="185" t="s">
        <v>14</v>
      </c>
      <c r="B62" s="165">
        <f>B60-B61</f>
        <v>0</v>
      </c>
      <c r="C62" s="186">
        <f>IFERROR(B62/B$60, 0)</f>
        <v>0</v>
      </c>
      <c r="E62" s="165">
        <f>E60-E61</f>
        <v>0</v>
      </c>
      <c r="F62" s="198">
        <f>IFERROR(E62/E$60, 0)</f>
        <v>0</v>
      </c>
      <c r="H62" s="165">
        <f>H60-H61</f>
        <v>0</v>
      </c>
      <c r="I62" s="198">
        <f>IFERROR(H62/H$60, 0)</f>
        <v>0</v>
      </c>
      <c r="K62" s="165">
        <f>K60-K61</f>
        <v>0</v>
      </c>
      <c r="L62" s="198">
        <f>IFERROR(K62/K$60, 0)</f>
        <v>0</v>
      </c>
      <c r="N62" s="165">
        <f>N60-N61</f>
        <v>0</v>
      </c>
      <c r="O62" s="198">
        <f>IFERROR(N62/N$60, 0)</f>
        <v>0</v>
      </c>
    </row>
    <row r="63" spans="1:19">
      <c r="B63" s="152"/>
      <c r="C63" s="152"/>
      <c r="E63" s="152"/>
      <c r="H63" s="152"/>
      <c r="K63" s="152"/>
      <c r="N63" s="152"/>
      <c r="O63" s="154"/>
    </row>
    <row r="64" spans="1:19" ht="19">
      <c r="A64" s="201" t="s">
        <v>26</v>
      </c>
      <c r="B64" s="202"/>
      <c r="C64" s="203"/>
      <c r="E64" s="152"/>
      <c r="H64" s="152"/>
      <c r="K64" s="152"/>
      <c r="N64" s="152"/>
      <c r="O64" s="154"/>
    </row>
    <row r="65" spans="1:19" s="153" customFormat="1" ht="19">
      <c r="A65" s="201" t="s">
        <v>27</v>
      </c>
      <c r="B65" s="204">
        <f>SUM(B66:B67)</f>
        <v>0</v>
      </c>
      <c r="C65" s="205">
        <f>SUM(C66:C67)</f>
        <v>0</v>
      </c>
      <c r="D65" s="152"/>
      <c r="E65" s="204">
        <f>SUM(E66:E67)</f>
        <v>0</v>
      </c>
      <c r="F65" s="206">
        <f>SUM(F66:F67)</f>
        <v>0</v>
      </c>
      <c r="G65" s="152"/>
      <c r="H65" s="204">
        <f>SUM(H66:H67)</f>
        <v>0</v>
      </c>
      <c r="I65" s="206">
        <f>SUM(I66:I67)</f>
        <v>0</v>
      </c>
      <c r="J65" s="152"/>
      <c r="K65" s="204">
        <f>SUM(K66:K67)</f>
        <v>0</v>
      </c>
      <c r="L65" s="206">
        <f>SUM(L66:L67)</f>
        <v>0</v>
      </c>
      <c r="M65" s="152"/>
      <c r="N65" s="204">
        <f>SUM(N66:N67)</f>
        <v>0</v>
      </c>
      <c r="O65" s="206">
        <f>SUM(O66:O67)</f>
        <v>0</v>
      </c>
      <c r="P65" s="152"/>
      <c r="Q65" s="152"/>
      <c r="R65" s="152"/>
      <c r="S65" s="152"/>
    </row>
    <row r="66" spans="1:19">
      <c r="A66" s="163" t="s">
        <v>2</v>
      </c>
      <c r="B66" s="168">
        <f>SUM(B56)</f>
        <v>0</v>
      </c>
      <c r="C66" s="207">
        <f>IFERROR(B66/B$60, 0)</f>
        <v>0</v>
      </c>
      <c r="E66" s="168">
        <f>SUM(E56:E56)</f>
        <v>0</v>
      </c>
      <c r="F66" s="208">
        <f>IFERROR(E66/E$60, 0)</f>
        <v>0</v>
      </c>
      <c r="H66" s="168">
        <f>SUM(H56:H56)</f>
        <v>0</v>
      </c>
      <c r="I66" s="208">
        <f>IFERROR(H66/H$60, 0)</f>
        <v>0</v>
      </c>
      <c r="K66" s="168">
        <f>SUM(K56:K56)</f>
        <v>0</v>
      </c>
      <c r="L66" s="208">
        <f>IFERROR(K66/K$60, 0)</f>
        <v>0</v>
      </c>
      <c r="N66" s="168">
        <f>SUM(N56:N56)</f>
        <v>0</v>
      </c>
      <c r="O66" s="208">
        <f>IFERROR(N66/N$60, 0)</f>
        <v>0</v>
      </c>
    </row>
    <row r="67" spans="1:19" s="153" customFormat="1">
      <c r="A67" s="209" t="s">
        <v>174</v>
      </c>
      <c r="B67" s="202">
        <f>B62-B66</f>
        <v>0</v>
      </c>
      <c r="C67" s="203">
        <f>IFERROR(B67/B$60, 0)</f>
        <v>0</v>
      </c>
      <c r="D67" s="152"/>
      <c r="E67" s="202">
        <f>E62-E66</f>
        <v>0</v>
      </c>
      <c r="F67" s="210">
        <f>IFERROR(E67/E$60, 0)</f>
        <v>0</v>
      </c>
      <c r="G67" s="152"/>
      <c r="H67" s="202">
        <f>H62-H66</f>
        <v>0</v>
      </c>
      <c r="I67" s="210">
        <f>IFERROR(H67/H$60, 0)</f>
        <v>0</v>
      </c>
      <c r="J67" s="152"/>
      <c r="K67" s="202">
        <f>K62-K66</f>
        <v>0</v>
      </c>
      <c r="L67" s="210">
        <f>IFERROR(K67/K$60, 0)</f>
        <v>0</v>
      </c>
      <c r="M67" s="152"/>
      <c r="N67" s="202">
        <f>N62-N66</f>
        <v>0</v>
      </c>
      <c r="O67" s="210">
        <f>IFERROR(N67/N$60, 0)</f>
        <v>0</v>
      </c>
      <c r="P67" s="152"/>
      <c r="Q67" s="152"/>
      <c r="R67" s="152"/>
      <c r="S67" s="152"/>
    </row>
    <row r="68" spans="1:19" s="173" customFormat="1" ht="11" outlineLevel="1">
      <c r="A68" s="171"/>
      <c r="B68" s="172">
        <f>SUM(E68,H68,K68,N68)</f>
        <v>0</v>
      </c>
      <c r="E68" s="174"/>
      <c r="H68" s="174"/>
      <c r="K68" s="174"/>
      <c r="N68" s="174"/>
    </row>
    <row r="69" spans="1:19" s="173" customFormat="1" ht="11" outlineLevel="1">
      <c r="A69" s="171"/>
      <c r="B69" s="172">
        <f>SUM(E69,H69,K69,N69)</f>
        <v>0</v>
      </c>
      <c r="E69" s="174"/>
      <c r="H69" s="174"/>
      <c r="K69" s="174"/>
      <c r="N69" s="174"/>
    </row>
    <row r="70" spans="1:19" s="173" customFormat="1" ht="11" outlineLevel="1">
      <c r="A70" s="171"/>
      <c r="B70" s="172">
        <f>SUM(E70,H70,K70,N70)</f>
        <v>0</v>
      </c>
      <c r="E70" s="174"/>
      <c r="H70" s="174"/>
      <c r="K70" s="174"/>
      <c r="N70" s="174"/>
    </row>
    <row r="71" spans="1:19" s="173" customFormat="1" ht="11" outlineLevel="1">
      <c r="A71" s="171"/>
      <c r="B71" s="172">
        <f>SUM(E71,H71,K71,N71)</f>
        <v>0</v>
      </c>
      <c r="E71" s="174"/>
      <c r="H71" s="174"/>
      <c r="K71" s="174"/>
      <c r="N71" s="174"/>
    </row>
    <row r="72" spans="1:19" s="173" customFormat="1" ht="11" outlineLevel="1">
      <c r="A72" s="171"/>
      <c r="B72" s="172">
        <f>SUM(E72,H72,K72,N72)</f>
        <v>0</v>
      </c>
      <c r="E72" s="174"/>
      <c r="H72" s="174"/>
      <c r="K72" s="174"/>
      <c r="N72" s="174"/>
    </row>
    <row r="73" spans="1:19" s="173" customFormat="1" ht="11" outlineLevel="1">
      <c r="A73" s="171" t="s">
        <v>399</v>
      </c>
      <c r="B73" s="172"/>
      <c r="E73" s="174"/>
      <c r="H73" s="174"/>
      <c r="K73" s="174"/>
      <c r="N73" s="174"/>
    </row>
    <row r="74" spans="1:19">
      <c r="A74" s="175" t="s">
        <v>298</v>
      </c>
      <c r="B74" s="176">
        <f>SUM(B68:B73)</f>
        <v>0</v>
      </c>
      <c r="C74" s="173"/>
      <c r="D74" s="173"/>
      <c r="E74" s="176">
        <f>SUM(E68:E73)</f>
        <v>0</v>
      </c>
      <c r="F74" s="173"/>
      <c r="G74" s="173"/>
      <c r="H74" s="176">
        <f>SUM(H68:H73)</f>
        <v>0</v>
      </c>
      <c r="I74" s="173"/>
      <c r="J74" s="173"/>
      <c r="K74" s="176">
        <f>SUM(K68:K73)</f>
        <v>0</v>
      </c>
      <c r="M74" s="173"/>
      <c r="N74" s="176">
        <f>SUM(N68:N73)</f>
        <v>0</v>
      </c>
      <c r="O74" s="173"/>
    </row>
    <row r="75" spans="1:19" s="173" customFormat="1" ht="11" outlineLevel="1">
      <c r="A75" s="177"/>
      <c r="B75" s="172">
        <f>SUM(E75,H75,K75,N75)</f>
        <v>0</v>
      </c>
      <c r="E75" s="178"/>
      <c r="H75" s="178"/>
      <c r="K75" s="178"/>
      <c r="N75" s="178"/>
    </row>
    <row r="76" spans="1:19" s="173" customFormat="1" ht="11" outlineLevel="1">
      <c r="A76" s="177"/>
      <c r="B76" s="172">
        <f>SUM(E76,H76,K76,N76)</f>
        <v>0</v>
      </c>
      <c r="E76" s="178"/>
      <c r="H76" s="178"/>
      <c r="K76" s="178"/>
      <c r="N76" s="178"/>
    </row>
    <row r="77" spans="1:19" s="173" customFormat="1" ht="11" outlineLevel="1">
      <c r="A77" s="177"/>
      <c r="B77" s="172">
        <f>SUM(E77,H77,K77,N77)</f>
        <v>0</v>
      </c>
      <c r="E77" s="178"/>
      <c r="H77" s="178"/>
      <c r="K77" s="178"/>
      <c r="N77" s="178"/>
    </row>
    <row r="78" spans="1:19" s="173" customFormat="1" ht="11" outlineLevel="1">
      <c r="A78" s="177"/>
      <c r="B78" s="172">
        <f>SUM(E78,H78,K78,N78)</f>
        <v>0</v>
      </c>
      <c r="E78" s="178"/>
      <c r="H78" s="178"/>
      <c r="K78" s="178"/>
      <c r="N78" s="178"/>
    </row>
    <row r="79" spans="1:19" s="173" customFormat="1" ht="11" outlineLevel="1">
      <c r="A79" s="177"/>
      <c r="B79" s="172">
        <f>SUM(E79,H79,K79,N79)</f>
        <v>0</v>
      </c>
      <c r="E79" s="178"/>
      <c r="H79" s="178"/>
      <c r="K79" s="178"/>
      <c r="N79" s="178"/>
    </row>
    <row r="80" spans="1:19" s="173" customFormat="1" ht="11" outlineLevel="1">
      <c r="A80" s="177" t="s">
        <v>400</v>
      </c>
      <c r="B80" s="172"/>
      <c r="E80" s="178"/>
      <c r="H80" s="178"/>
      <c r="K80" s="178"/>
      <c r="N80" s="178"/>
    </row>
    <row r="81" spans="1:19">
      <c r="A81" s="179" t="s">
        <v>299</v>
      </c>
      <c r="B81" s="180">
        <f>SUM(B75:B80)</f>
        <v>0</v>
      </c>
      <c r="C81" s="173"/>
      <c r="D81" s="173"/>
      <c r="E81" s="180">
        <f>SUM(E75:E80)</f>
        <v>0</v>
      </c>
      <c r="F81" s="173"/>
      <c r="G81" s="173"/>
      <c r="H81" s="180">
        <f>SUM(H75:H80)</f>
        <v>0</v>
      </c>
      <c r="I81" s="173"/>
      <c r="J81" s="173"/>
      <c r="K81" s="180">
        <f>SUM(K75:K80)</f>
        <v>0</v>
      </c>
      <c r="M81" s="173"/>
      <c r="N81" s="222">
        <f>SUM(N75:N80)</f>
        <v>0</v>
      </c>
      <c r="O81" s="173"/>
    </row>
    <row r="82" spans="1:19" s="173" customFormat="1" ht="11" outlineLevel="1">
      <c r="A82" s="171"/>
      <c r="B82" s="172">
        <f>SUM(E82,H82,K82,N82)</f>
        <v>0</v>
      </c>
      <c r="E82" s="174"/>
      <c r="H82" s="174"/>
      <c r="K82" s="174"/>
      <c r="N82" s="174"/>
    </row>
    <row r="83" spans="1:19" s="173" customFormat="1" ht="11" outlineLevel="1">
      <c r="A83" s="171"/>
      <c r="B83" s="172">
        <f>SUM(E83,H83,K83,N83)</f>
        <v>0</v>
      </c>
      <c r="E83" s="174"/>
      <c r="H83" s="174"/>
      <c r="K83" s="174"/>
      <c r="N83" s="174"/>
    </row>
    <row r="84" spans="1:19" s="173" customFormat="1" ht="11" outlineLevel="1">
      <c r="A84" s="171"/>
      <c r="B84" s="172">
        <f>SUM(E84,H84,K84,N84)</f>
        <v>0</v>
      </c>
      <c r="E84" s="174"/>
      <c r="H84" s="174"/>
      <c r="K84" s="174"/>
      <c r="N84" s="174"/>
    </row>
    <row r="85" spans="1:19" s="173" customFormat="1" ht="11" outlineLevel="1">
      <c r="A85" s="171"/>
      <c r="B85" s="172">
        <f>SUM(E85,H85,K85,N85)</f>
        <v>0</v>
      </c>
      <c r="E85" s="174"/>
      <c r="H85" s="174"/>
      <c r="K85" s="174"/>
      <c r="N85" s="174"/>
    </row>
    <row r="86" spans="1:19" s="173" customFormat="1" ht="11" outlineLevel="1">
      <c r="A86" s="171"/>
      <c r="B86" s="172">
        <f>SUM(E86,H86,K86,N86)</f>
        <v>0</v>
      </c>
      <c r="E86" s="174"/>
      <c r="H86" s="174"/>
      <c r="K86" s="174"/>
      <c r="N86" s="174"/>
    </row>
    <row r="87" spans="1:19" s="173" customFormat="1" ht="11" outlineLevel="1">
      <c r="A87" s="171" t="s">
        <v>401</v>
      </c>
      <c r="B87" s="172"/>
      <c r="E87" s="174"/>
      <c r="H87" s="174"/>
      <c r="K87" s="174"/>
      <c r="N87" s="174"/>
    </row>
    <row r="88" spans="1:19">
      <c r="A88" s="175" t="s">
        <v>300</v>
      </c>
      <c r="B88" s="176">
        <f>SUM(B82:B87)</f>
        <v>0</v>
      </c>
      <c r="C88" s="173"/>
      <c r="D88" s="173"/>
      <c r="E88" s="176">
        <f>SUM(E82:E87)</f>
        <v>0</v>
      </c>
      <c r="F88" s="173"/>
      <c r="G88" s="173"/>
      <c r="H88" s="176">
        <f>SUM(H82:H87)</f>
        <v>0</v>
      </c>
      <c r="I88" s="173"/>
      <c r="J88" s="173"/>
      <c r="K88" s="176">
        <f>SUM(K82:K87)</f>
        <v>0</v>
      </c>
      <c r="M88" s="173"/>
      <c r="N88" s="176">
        <f>SUM(N82:N87)</f>
        <v>0</v>
      </c>
      <c r="O88" s="173"/>
    </row>
    <row r="89" spans="1:19" s="211" customFormat="1" ht="19">
      <c r="A89" s="183" t="s">
        <v>297</v>
      </c>
      <c r="B89" s="199">
        <f>SUM(B74,B81,B88)</f>
        <v>0</v>
      </c>
      <c r="C89" s="200">
        <f>IFERROR(B89/B$67, 0)</f>
        <v>0</v>
      </c>
      <c r="D89" s="181"/>
      <c r="E89" s="199">
        <f>SUM(E74,E81,E88)</f>
        <v>0</v>
      </c>
      <c r="F89" s="200">
        <f>IFERROR(E89/E$67, 0)</f>
        <v>0</v>
      </c>
      <c r="G89" s="181"/>
      <c r="H89" s="199">
        <f>SUM(H74,H81,H88)</f>
        <v>0</v>
      </c>
      <c r="I89" s="200">
        <f>IFERROR(H89/H$67, 0)</f>
        <v>0</v>
      </c>
      <c r="J89" s="181"/>
      <c r="K89" s="199">
        <f>SUM(K74,K81,K88)</f>
        <v>0</v>
      </c>
      <c r="L89" s="200">
        <f>IFERROR(K89/K$67, 0)</f>
        <v>0</v>
      </c>
      <c r="M89" s="181"/>
      <c r="N89" s="199">
        <f>SUM(N74,N81,N88)</f>
        <v>0</v>
      </c>
      <c r="O89" s="200">
        <f>IFERROR(N89/N$67, 0)</f>
        <v>0</v>
      </c>
      <c r="P89" s="181"/>
      <c r="Q89" s="181"/>
      <c r="R89" s="181"/>
      <c r="S89" s="181"/>
    </row>
    <row r="90" spans="1:19" s="211" customFormat="1" ht="19">
      <c r="A90" s="183" t="s">
        <v>296</v>
      </c>
      <c r="B90" s="199">
        <f>B67-B89</f>
        <v>0</v>
      </c>
      <c r="C90" s="200">
        <f>IFERROR(B90/B$67, 0)</f>
        <v>0</v>
      </c>
      <c r="D90" s="181"/>
      <c r="E90" s="199">
        <f>E67-E89</f>
        <v>0</v>
      </c>
      <c r="F90" s="200">
        <f>IFERROR(E90/E$67, 0)</f>
        <v>0</v>
      </c>
      <c r="G90" s="181"/>
      <c r="H90" s="199">
        <f>H67-H89</f>
        <v>0</v>
      </c>
      <c r="I90" s="200">
        <f>IFERROR(H90/H$67, 0)</f>
        <v>0</v>
      </c>
      <c r="J90" s="181"/>
      <c r="K90" s="199">
        <f>K67-K89</f>
        <v>0</v>
      </c>
      <c r="L90" s="200">
        <f>IFERROR(K90/K$67, 0)</f>
        <v>0</v>
      </c>
      <c r="M90" s="181"/>
      <c r="N90" s="199">
        <f>N67-N89</f>
        <v>0</v>
      </c>
      <c r="O90" s="200">
        <f>IFERROR(N90/N$67, 0)</f>
        <v>0</v>
      </c>
      <c r="P90" s="181"/>
      <c r="Q90" s="181"/>
      <c r="R90" s="181"/>
      <c r="S90" s="181"/>
    </row>
  </sheetData>
  <sheetProtection sheet="1" insertColumns="0" insertRows="0"/>
  <mergeCells count="5">
    <mergeCell ref="M9:M10"/>
    <mergeCell ref="D9:D10"/>
    <mergeCell ref="G9:G10"/>
    <mergeCell ref="J9:J10"/>
    <mergeCell ref="P9:P10"/>
  </mergeCells>
  <pageMargins left="0.7" right="0.7" top="0.78740157499999996" bottom="0.78740157499999996" header="0.3" footer="0.3"/>
  <pageSetup paperSize="9" scale="54" fitToHeight="0" orientation="landscape" horizontalDpi="0" verticalDpi="0"/>
  <headerFooter>
    <oddFooter>&amp;R&amp;"Calibri,Standard"&amp;K000000Letzte Änderung: 17.05.2023 / ds Druckdatum: &amp;D</oddFooter>
  </headerFooter>
  <rowBreaks count="1" manualBreakCount="1">
    <brk id="57" max="16383" man="1"/>
  </rowBreaks>
  <ignoredErrors>
    <ignoredError sqref="K5" unlocked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I76"/>
  <sheetViews>
    <sheetView zoomScale="150" zoomScaleNormal="150" workbookViewId="0">
      <selection activeCell="F46" sqref="F46"/>
    </sheetView>
  </sheetViews>
  <sheetFormatPr baseColWidth="10" defaultRowHeight="16"/>
  <cols>
    <col min="1" max="1" width="8.1640625" style="88" customWidth="1"/>
    <col min="2" max="2" width="21.6640625" style="88" customWidth="1"/>
    <col min="3" max="3" width="40.5" style="88" customWidth="1"/>
    <col min="4" max="4" width="12.83203125" style="88" customWidth="1"/>
    <col min="5" max="5" width="8.5" style="88" bestFit="1" customWidth="1"/>
    <col min="6" max="6" width="7.83203125" style="88" bestFit="1" customWidth="1"/>
    <col min="7" max="7" width="12" style="88" customWidth="1"/>
    <col min="8" max="8" width="15" style="88" customWidth="1"/>
    <col min="9" max="9" width="44" style="88" bestFit="1" customWidth="1"/>
    <col min="10" max="16384" width="10.83203125" style="88"/>
  </cols>
  <sheetData>
    <row r="1" spans="1:9">
      <c r="C1" s="225" t="s">
        <v>38</v>
      </c>
      <c r="D1" s="223">
        <f>IFERROR('DIZH Budget Kalkulation'!A4, "noch ausfüllen")</f>
        <v>0</v>
      </c>
      <c r="E1" s="224"/>
      <c r="F1" s="224"/>
      <c r="G1" s="224"/>
      <c r="H1" s="224"/>
    </row>
    <row r="2" spans="1:9">
      <c r="C2" s="225" t="s">
        <v>39</v>
      </c>
      <c r="D2" s="223">
        <f>IFERROR('DIZH Budget Kalkulation'!A5, "noch ausfüllen")</f>
        <v>0</v>
      </c>
      <c r="E2" s="224"/>
      <c r="F2" s="224"/>
      <c r="G2" s="224"/>
      <c r="H2" s="224"/>
    </row>
    <row r="3" spans="1:9">
      <c r="C3" s="225" t="s">
        <v>337</v>
      </c>
      <c r="D3" s="223">
        <f>IFERROR('DIZH Budget Kalkulation'!A6, "noch ausfüllen")</f>
        <v>0</v>
      </c>
      <c r="E3" s="224"/>
      <c r="F3" s="224"/>
      <c r="G3" s="224"/>
      <c r="H3" s="224"/>
    </row>
    <row r="4" spans="1:9">
      <c r="C4" s="225" t="s">
        <v>336</v>
      </c>
      <c r="D4" s="223">
        <f>IFERROR('DIZH Budget Kalkulation'!E5, "noch ausfüllen")</f>
        <v>0</v>
      </c>
      <c r="E4" s="224"/>
      <c r="F4" s="224"/>
      <c r="G4" s="224"/>
      <c r="H4" s="224"/>
    </row>
    <row r="6" spans="1:9">
      <c r="A6" s="116" t="s">
        <v>207</v>
      </c>
    </row>
    <row r="7" spans="1:9">
      <c r="A7" s="116" t="s">
        <v>208</v>
      </c>
    </row>
    <row r="8" spans="1:9">
      <c r="A8" s="116" t="s">
        <v>209</v>
      </c>
    </row>
    <row r="9" spans="1:9">
      <c r="A9" s="116" t="s">
        <v>206</v>
      </c>
    </row>
    <row r="11" spans="1:9" s="100" customFormat="1" ht="33" customHeight="1">
      <c r="A11" s="98" t="s">
        <v>19</v>
      </c>
      <c r="B11" s="98" t="s">
        <v>41</v>
      </c>
      <c r="C11" s="98" t="s">
        <v>285</v>
      </c>
      <c r="D11" s="98" t="s">
        <v>42</v>
      </c>
      <c r="E11" s="99" t="s">
        <v>86</v>
      </c>
      <c r="F11" s="99" t="s">
        <v>43</v>
      </c>
      <c r="G11" s="99" t="s">
        <v>44</v>
      </c>
      <c r="H11" s="99" t="s">
        <v>115</v>
      </c>
    </row>
    <row r="12" spans="1:9">
      <c r="A12" s="101" t="s">
        <v>21</v>
      </c>
      <c r="B12" s="101"/>
      <c r="C12" s="132"/>
      <c r="D12" s="101"/>
      <c r="E12" s="103"/>
      <c r="F12" s="101"/>
      <c r="G12" s="104">
        <f>IFERROR(VLOOKUP(C12,UZH_Personal_2023!A$4:G$11, 5,FALSE),)</f>
        <v>0</v>
      </c>
      <c r="H12" s="105">
        <f>G12*E12*F12/12</f>
        <v>0</v>
      </c>
      <c r="I12" s="107" t="s">
        <v>264</v>
      </c>
    </row>
    <row r="13" spans="1:9">
      <c r="A13" s="101" t="s">
        <v>21</v>
      </c>
      <c r="B13" s="106"/>
      <c r="C13" s="132"/>
      <c r="D13" s="106"/>
      <c r="E13" s="103"/>
      <c r="F13" s="101"/>
      <c r="G13" s="104">
        <f>IFERROR(VLOOKUP(C13,UZH_Personal_2023!A$4:G$11, 5,FALSE),)</f>
        <v>0</v>
      </c>
      <c r="H13" s="105">
        <f t="shared" ref="H13:H23" si="0">G13*E13*F13/12</f>
        <v>0</v>
      </c>
      <c r="I13" s="107" t="s">
        <v>264</v>
      </c>
    </row>
    <row r="14" spans="1:9">
      <c r="A14" s="101" t="s">
        <v>21</v>
      </c>
      <c r="B14" s="106"/>
      <c r="C14" s="132"/>
      <c r="D14" s="106"/>
      <c r="E14" s="103"/>
      <c r="F14" s="101"/>
      <c r="G14" s="104">
        <f>IFERROR(VLOOKUP(C14,UZH_Personal_2023!A$4:G$11, 5,FALSE),)</f>
        <v>0</v>
      </c>
      <c r="H14" s="105">
        <f t="shared" si="0"/>
        <v>0</v>
      </c>
      <c r="I14" s="107" t="s">
        <v>264</v>
      </c>
    </row>
    <row r="15" spans="1:9">
      <c r="A15" s="101" t="s">
        <v>21</v>
      </c>
      <c r="B15" s="106"/>
      <c r="C15" s="132"/>
      <c r="D15" s="106"/>
      <c r="E15" s="103"/>
      <c r="F15" s="101"/>
      <c r="G15" s="104">
        <f>IFERROR(VLOOKUP(C15,UZH_Personal_2023!A$4:G$11, 5,FALSE),)</f>
        <v>0</v>
      </c>
      <c r="H15" s="105">
        <f t="shared" si="0"/>
        <v>0</v>
      </c>
      <c r="I15" s="107" t="s">
        <v>264</v>
      </c>
    </row>
    <row r="16" spans="1:9">
      <c r="A16" s="101" t="s">
        <v>21</v>
      </c>
      <c r="B16" s="106"/>
      <c r="C16" s="132"/>
      <c r="D16" s="106"/>
      <c r="E16" s="103"/>
      <c r="F16" s="101"/>
      <c r="G16" s="104">
        <f>IFERROR(VLOOKUP(C16,UZH_Personal_2023!A$4:G$11, 5,FALSE),)</f>
        <v>0</v>
      </c>
      <c r="H16" s="105">
        <f t="shared" si="0"/>
        <v>0</v>
      </c>
      <c r="I16" s="107" t="s">
        <v>264</v>
      </c>
    </row>
    <row r="17" spans="1:9">
      <c r="A17" s="101" t="s">
        <v>21</v>
      </c>
      <c r="B17" s="106"/>
      <c r="C17" s="132"/>
      <c r="D17" s="106"/>
      <c r="E17" s="103"/>
      <c r="F17" s="101"/>
      <c r="G17" s="104">
        <f>IFERROR(VLOOKUP(C17,UZH_Personal_2023!A$4:G$11, 5,FALSE),)</f>
        <v>0</v>
      </c>
      <c r="H17" s="105">
        <f t="shared" si="0"/>
        <v>0</v>
      </c>
      <c r="I17" s="107" t="s">
        <v>264</v>
      </c>
    </row>
    <row r="18" spans="1:9">
      <c r="A18" s="101" t="s">
        <v>21</v>
      </c>
      <c r="B18" s="106"/>
      <c r="C18" s="132"/>
      <c r="D18" s="106"/>
      <c r="E18" s="103"/>
      <c r="F18" s="101"/>
      <c r="G18" s="117"/>
      <c r="H18" s="105">
        <f t="shared" si="0"/>
        <v>0</v>
      </c>
      <c r="I18" s="107" t="s">
        <v>126</v>
      </c>
    </row>
    <row r="19" spans="1:9">
      <c r="A19" s="101" t="s">
        <v>21</v>
      </c>
      <c r="B19" s="106"/>
      <c r="C19" s="132"/>
      <c r="D19" s="106"/>
      <c r="E19" s="103"/>
      <c r="F19" s="101"/>
      <c r="G19" s="117"/>
      <c r="H19" s="105">
        <f t="shared" ref="H19" si="1">G19*E19*F19/12</f>
        <v>0</v>
      </c>
      <c r="I19" s="107" t="s">
        <v>126</v>
      </c>
    </row>
    <row r="20" spans="1:9">
      <c r="A20" s="101" t="s">
        <v>21</v>
      </c>
      <c r="B20" s="106"/>
      <c r="C20" s="132"/>
      <c r="D20" s="106"/>
      <c r="E20" s="103"/>
      <c r="F20" s="101"/>
      <c r="G20" s="117"/>
      <c r="H20" s="105">
        <f t="shared" si="0"/>
        <v>0</v>
      </c>
      <c r="I20" s="107" t="s">
        <v>126</v>
      </c>
    </row>
    <row r="21" spans="1:9">
      <c r="A21" s="101" t="s">
        <v>21</v>
      </c>
      <c r="B21" s="106"/>
      <c r="C21" s="132"/>
      <c r="D21" s="106"/>
      <c r="E21" s="103"/>
      <c r="F21" s="101"/>
      <c r="G21" s="117"/>
      <c r="H21" s="105">
        <f t="shared" ref="H21" si="2">G21*E21*F21/12</f>
        <v>0</v>
      </c>
      <c r="I21" s="107" t="s">
        <v>126</v>
      </c>
    </row>
    <row r="22" spans="1:9">
      <c r="A22" s="101" t="s">
        <v>21</v>
      </c>
      <c r="B22" s="106"/>
      <c r="C22" s="132"/>
      <c r="D22" s="106"/>
      <c r="E22" s="103"/>
      <c r="F22" s="101"/>
      <c r="G22" s="117"/>
      <c r="H22" s="105">
        <f t="shared" si="0"/>
        <v>0</v>
      </c>
      <c r="I22" s="107" t="s">
        <v>126</v>
      </c>
    </row>
    <row r="23" spans="1:9">
      <c r="A23" s="101" t="s">
        <v>21</v>
      </c>
      <c r="B23" s="106"/>
      <c r="C23" s="132"/>
      <c r="D23" s="106"/>
      <c r="E23" s="103"/>
      <c r="F23" s="101"/>
      <c r="G23" s="117"/>
      <c r="H23" s="105">
        <f t="shared" si="0"/>
        <v>0</v>
      </c>
      <c r="I23" s="107" t="s">
        <v>126</v>
      </c>
    </row>
    <row r="24" spans="1:9" ht="11" customHeight="1">
      <c r="A24" s="97" t="s">
        <v>389</v>
      </c>
    </row>
    <row r="25" spans="1:9" s="182" customFormat="1" ht="19">
      <c r="A25" s="271" t="s">
        <v>83</v>
      </c>
      <c r="B25" s="272"/>
      <c r="C25" s="271"/>
      <c r="D25" s="272"/>
      <c r="E25" s="273"/>
      <c r="F25" s="271"/>
      <c r="G25" s="274"/>
      <c r="H25" s="274">
        <f>SUM(H12:H24)</f>
        <v>0</v>
      </c>
    </row>
    <row r="28" spans="1:9" s="100" customFormat="1" ht="33" customHeight="1">
      <c r="A28" s="98" t="s">
        <v>19</v>
      </c>
      <c r="B28" s="98" t="s">
        <v>41</v>
      </c>
      <c r="C28" s="98" t="s">
        <v>285</v>
      </c>
      <c r="D28" s="98" t="s">
        <v>42</v>
      </c>
      <c r="E28" s="99" t="s">
        <v>183</v>
      </c>
      <c r="F28" s="99"/>
      <c r="G28" s="99" t="s">
        <v>184</v>
      </c>
      <c r="H28" s="99" t="s">
        <v>115</v>
      </c>
    </row>
    <row r="29" spans="1:9">
      <c r="A29" s="101" t="s">
        <v>20</v>
      </c>
      <c r="B29" s="101"/>
      <c r="C29" s="102"/>
      <c r="D29" s="103"/>
      <c r="E29" s="101"/>
      <c r="F29" s="110"/>
      <c r="G29" s="108">
        <f>IFERROR(VLOOKUP(C29,ZHAW_Personal!A$6:D$10, 2,FALSE),)</f>
        <v>0</v>
      </c>
      <c r="H29" s="105">
        <f>G29*E29</f>
        <v>0</v>
      </c>
      <c r="I29" s="107" t="s">
        <v>264</v>
      </c>
    </row>
    <row r="30" spans="1:9">
      <c r="A30" s="101" t="s">
        <v>20</v>
      </c>
      <c r="B30" s="106"/>
      <c r="C30" s="102"/>
      <c r="D30" s="103"/>
      <c r="E30" s="101"/>
      <c r="F30" s="110"/>
      <c r="G30" s="108">
        <f>IFERROR(VLOOKUP(C30,ZHAW_Personal!A$6:D$10, 2,FALSE),)</f>
        <v>0</v>
      </c>
      <c r="H30" s="105">
        <f t="shared" ref="H30:H40" si="3">G30*E30</f>
        <v>0</v>
      </c>
      <c r="I30" s="107" t="s">
        <v>264</v>
      </c>
    </row>
    <row r="31" spans="1:9">
      <c r="A31" s="101" t="s">
        <v>20</v>
      </c>
      <c r="B31" s="106"/>
      <c r="C31" s="102"/>
      <c r="D31" s="103"/>
      <c r="E31" s="101"/>
      <c r="F31" s="110"/>
      <c r="G31" s="108">
        <f>IFERROR(VLOOKUP(C31,ZHAW_Personal!A$6:D$10, 2,FALSE),)</f>
        <v>0</v>
      </c>
      <c r="H31" s="105">
        <f t="shared" si="3"/>
        <v>0</v>
      </c>
      <c r="I31" s="107" t="s">
        <v>264</v>
      </c>
    </row>
    <row r="32" spans="1:9">
      <c r="A32" s="101" t="s">
        <v>20</v>
      </c>
      <c r="B32" s="106"/>
      <c r="C32" s="102"/>
      <c r="D32" s="103"/>
      <c r="E32" s="101"/>
      <c r="F32" s="110"/>
      <c r="G32" s="108">
        <f>IFERROR(VLOOKUP(C32,ZHAW_Personal!A$6:D$10, 2,FALSE),)</f>
        <v>0</v>
      </c>
      <c r="H32" s="105">
        <f t="shared" si="3"/>
        <v>0</v>
      </c>
      <c r="I32" s="107" t="s">
        <v>264</v>
      </c>
    </row>
    <row r="33" spans="1:9">
      <c r="A33" s="101" t="s">
        <v>20</v>
      </c>
      <c r="B33" s="106"/>
      <c r="C33" s="102"/>
      <c r="D33" s="103"/>
      <c r="E33" s="101"/>
      <c r="F33" s="110"/>
      <c r="G33" s="108">
        <f>IFERROR(VLOOKUP(C33,ZHAW_Personal!A$6:D$10, 2,FALSE),)</f>
        <v>0</v>
      </c>
      <c r="H33" s="105">
        <f t="shared" si="3"/>
        <v>0</v>
      </c>
      <c r="I33" s="107" t="s">
        <v>264</v>
      </c>
    </row>
    <row r="34" spans="1:9">
      <c r="A34" s="101" t="s">
        <v>20</v>
      </c>
      <c r="B34" s="106"/>
      <c r="C34" s="102"/>
      <c r="D34" s="103"/>
      <c r="E34" s="101"/>
      <c r="F34" s="110"/>
      <c r="G34" s="108">
        <f>IFERROR(VLOOKUP(C34,ZHAW_Personal!A$6:D$10, 2,FALSE),)</f>
        <v>0</v>
      </c>
      <c r="H34" s="105">
        <f t="shared" si="3"/>
        <v>0</v>
      </c>
      <c r="I34" s="107" t="s">
        <v>264</v>
      </c>
    </row>
    <row r="35" spans="1:9">
      <c r="A35" s="101" t="s">
        <v>20</v>
      </c>
      <c r="B35" s="106"/>
      <c r="C35" s="102"/>
      <c r="D35" s="106"/>
      <c r="E35" s="109"/>
      <c r="F35" s="110"/>
      <c r="G35" s="117"/>
      <c r="H35" s="105">
        <f t="shared" si="3"/>
        <v>0</v>
      </c>
      <c r="I35" s="107" t="s">
        <v>126</v>
      </c>
    </row>
    <row r="36" spans="1:9">
      <c r="A36" s="101" t="s">
        <v>20</v>
      </c>
      <c r="B36" s="106"/>
      <c r="C36" s="102"/>
      <c r="D36" s="106"/>
      <c r="E36" s="109"/>
      <c r="F36" s="110"/>
      <c r="G36" s="117"/>
      <c r="H36" s="105">
        <f t="shared" si="3"/>
        <v>0</v>
      </c>
      <c r="I36" s="107" t="s">
        <v>126</v>
      </c>
    </row>
    <row r="37" spans="1:9">
      <c r="A37" s="101" t="s">
        <v>20</v>
      </c>
      <c r="B37" s="106"/>
      <c r="C37" s="102"/>
      <c r="D37" s="106"/>
      <c r="E37" s="109"/>
      <c r="F37" s="110"/>
      <c r="G37" s="117"/>
      <c r="H37" s="105">
        <f t="shared" si="3"/>
        <v>0</v>
      </c>
      <c r="I37" s="107" t="s">
        <v>126</v>
      </c>
    </row>
    <row r="38" spans="1:9">
      <c r="A38" s="101" t="s">
        <v>20</v>
      </c>
      <c r="B38" s="106"/>
      <c r="C38" s="102"/>
      <c r="D38" s="106"/>
      <c r="E38" s="109"/>
      <c r="F38" s="110"/>
      <c r="G38" s="117"/>
      <c r="H38" s="105">
        <f t="shared" si="3"/>
        <v>0</v>
      </c>
      <c r="I38" s="107" t="s">
        <v>126</v>
      </c>
    </row>
    <row r="39" spans="1:9">
      <c r="A39" s="101" t="s">
        <v>20</v>
      </c>
      <c r="B39" s="106"/>
      <c r="C39" s="102"/>
      <c r="D39" s="106"/>
      <c r="E39" s="109"/>
      <c r="F39" s="110"/>
      <c r="G39" s="117"/>
      <c r="H39" s="105">
        <f t="shared" si="3"/>
        <v>0</v>
      </c>
      <c r="I39" s="107" t="s">
        <v>126</v>
      </c>
    </row>
    <row r="40" spans="1:9">
      <c r="A40" s="101" t="s">
        <v>20</v>
      </c>
      <c r="B40" s="106"/>
      <c r="C40" s="102"/>
      <c r="D40" s="106"/>
      <c r="E40" s="109"/>
      <c r="F40" s="110"/>
      <c r="G40" s="117"/>
      <c r="H40" s="105">
        <f t="shared" si="3"/>
        <v>0</v>
      </c>
      <c r="I40" s="107" t="s">
        <v>126</v>
      </c>
    </row>
    <row r="41" spans="1:9" ht="11" customHeight="1">
      <c r="A41" s="97" t="s">
        <v>391</v>
      </c>
    </row>
    <row r="42" spans="1:9" s="182" customFormat="1" ht="19">
      <c r="A42" s="271" t="s">
        <v>84</v>
      </c>
      <c r="B42" s="272"/>
      <c r="C42" s="271"/>
      <c r="D42" s="272"/>
      <c r="E42" s="273"/>
      <c r="F42" s="271"/>
      <c r="G42" s="274"/>
      <c r="H42" s="274">
        <f>SUM(H29:H41)</f>
        <v>0</v>
      </c>
    </row>
    <row r="45" spans="1:9" s="100" customFormat="1" ht="33" customHeight="1">
      <c r="A45" s="98" t="s">
        <v>19</v>
      </c>
      <c r="B45" s="98" t="s">
        <v>41</v>
      </c>
      <c r="C45" s="98" t="s">
        <v>285</v>
      </c>
      <c r="D45" s="98" t="s">
        <v>42</v>
      </c>
      <c r="E45" s="99" t="s">
        <v>86</v>
      </c>
      <c r="F45" s="99" t="s">
        <v>43</v>
      </c>
      <c r="G45" s="99" t="s">
        <v>44</v>
      </c>
      <c r="H45" s="99" t="s">
        <v>115</v>
      </c>
    </row>
    <row r="46" spans="1:9">
      <c r="A46" s="101" t="s">
        <v>22</v>
      </c>
      <c r="B46" s="101"/>
      <c r="C46" s="102"/>
      <c r="D46" s="101"/>
      <c r="E46" s="103"/>
      <c r="F46" s="101"/>
      <c r="G46" s="104">
        <f>IFERROR(VLOOKUP(C46,ZHDK_Personal!A$6:F$16, 4,FALSE),)</f>
        <v>0</v>
      </c>
      <c r="H46" s="105">
        <f t="shared" ref="H46:H57" si="4">G46*E46*F46/12</f>
        <v>0</v>
      </c>
      <c r="I46" s="107" t="s">
        <v>264</v>
      </c>
    </row>
    <row r="47" spans="1:9">
      <c r="A47" s="101" t="s">
        <v>22</v>
      </c>
      <c r="B47" s="106"/>
      <c r="C47" s="102"/>
      <c r="D47" s="106"/>
      <c r="E47" s="103"/>
      <c r="F47" s="101"/>
      <c r="G47" s="104">
        <f>IFERROR(VLOOKUP(C47,ZHDK_Personal!A$6:F$16, 4,FALSE),)</f>
        <v>0</v>
      </c>
      <c r="H47" s="105">
        <f t="shared" si="4"/>
        <v>0</v>
      </c>
      <c r="I47" s="107" t="s">
        <v>264</v>
      </c>
    </row>
    <row r="48" spans="1:9">
      <c r="A48" s="101" t="s">
        <v>22</v>
      </c>
      <c r="B48" s="106"/>
      <c r="C48" s="102"/>
      <c r="D48" s="106"/>
      <c r="E48" s="103"/>
      <c r="F48" s="101"/>
      <c r="G48" s="104">
        <f>IFERROR(VLOOKUP(C48,ZHDK_Personal!A$6:F$16, 4,FALSE),)</f>
        <v>0</v>
      </c>
      <c r="H48" s="105">
        <f t="shared" si="4"/>
        <v>0</v>
      </c>
      <c r="I48" s="107" t="s">
        <v>264</v>
      </c>
    </row>
    <row r="49" spans="1:9">
      <c r="A49" s="101" t="s">
        <v>22</v>
      </c>
      <c r="B49" s="106"/>
      <c r="C49" s="102"/>
      <c r="D49" s="106"/>
      <c r="E49" s="103"/>
      <c r="F49" s="101"/>
      <c r="G49" s="104">
        <f>IFERROR(VLOOKUP(C49,ZHDK_Personal!A$6:F$16, 4,FALSE),)</f>
        <v>0</v>
      </c>
      <c r="H49" s="105">
        <f t="shared" si="4"/>
        <v>0</v>
      </c>
      <c r="I49" s="107" t="s">
        <v>264</v>
      </c>
    </row>
    <row r="50" spans="1:9">
      <c r="A50" s="101" t="s">
        <v>22</v>
      </c>
      <c r="B50" s="106"/>
      <c r="C50" s="102"/>
      <c r="D50" s="106"/>
      <c r="E50" s="103"/>
      <c r="F50" s="101"/>
      <c r="G50" s="104">
        <f>IFERROR(VLOOKUP(C50,ZHDK_Personal!A$6:F$16, 4,FALSE),)</f>
        <v>0</v>
      </c>
      <c r="H50" s="105">
        <f t="shared" si="4"/>
        <v>0</v>
      </c>
      <c r="I50" s="107" t="s">
        <v>264</v>
      </c>
    </row>
    <row r="51" spans="1:9">
      <c r="A51" s="101" t="s">
        <v>22</v>
      </c>
      <c r="B51" s="106"/>
      <c r="C51" s="102"/>
      <c r="D51" s="106"/>
      <c r="E51" s="103"/>
      <c r="F51" s="101"/>
      <c r="G51" s="104">
        <f>IFERROR(VLOOKUP(C51,ZHDK_Personal!A$6:F$16, 4,FALSE),)</f>
        <v>0</v>
      </c>
      <c r="H51" s="105">
        <f t="shared" ref="H51" si="5">G51*E51*F51/12</f>
        <v>0</v>
      </c>
      <c r="I51" s="107" t="s">
        <v>264</v>
      </c>
    </row>
    <row r="52" spans="1:9">
      <c r="A52" s="101" t="s">
        <v>22</v>
      </c>
      <c r="B52" s="106"/>
      <c r="C52" s="102"/>
      <c r="D52" s="106"/>
      <c r="E52" s="103"/>
      <c r="F52" s="101"/>
      <c r="G52" s="117"/>
      <c r="H52" s="105">
        <f t="shared" ref="H52" si="6">G52*E52*F52/12</f>
        <v>0</v>
      </c>
      <c r="I52" s="107" t="s">
        <v>126</v>
      </c>
    </row>
    <row r="53" spans="1:9">
      <c r="A53" s="101" t="s">
        <v>22</v>
      </c>
      <c r="B53" s="106"/>
      <c r="C53" s="102"/>
      <c r="D53" s="106"/>
      <c r="E53" s="103"/>
      <c r="F53" s="101"/>
      <c r="G53" s="117"/>
      <c r="H53" s="105">
        <f t="shared" si="4"/>
        <v>0</v>
      </c>
      <c r="I53" s="107" t="s">
        <v>126</v>
      </c>
    </row>
    <row r="54" spans="1:9">
      <c r="A54" s="101" t="s">
        <v>22</v>
      </c>
      <c r="B54" s="106"/>
      <c r="C54" s="102"/>
      <c r="D54" s="106"/>
      <c r="E54" s="103"/>
      <c r="F54" s="101"/>
      <c r="G54" s="117"/>
      <c r="H54" s="105">
        <f t="shared" ref="H54" si="7">G54*E54*F54/12</f>
        <v>0</v>
      </c>
      <c r="I54" s="107" t="s">
        <v>126</v>
      </c>
    </row>
    <row r="55" spans="1:9">
      <c r="A55" s="101" t="s">
        <v>22</v>
      </c>
      <c r="B55" s="106"/>
      <c r="C55" s="102"/>
      <c r="D55" s="106"/>
      <c r="E55" s="103"/>
      <c r="F55" s="101"/>
      <c r="G55" s="117"/>
      <c r="H55" s="105">
        <f t="shared" si="4"/>
        <v>0</v>
      </c>
      <c r="I55" s="107" t="s">
        <v>126</v>
      </c>
    </row>
    <row r="56" spans="1:9">
      <c r="A56" s="101" t="s">
        <v>22</v>
      </c>
      <c r="B56" s="106"/>
      <c r="C56" s="102"/>
      <c r="D56" s="106"/>
      <c r="E56" s="103"/>
      <c r="F56" s="101"/>
      <c r="G56" s="117"/>
      <c r="H56" s="105">
        <f t="shared" si="4"/>
        <v>0</v>
      </c>
      <c r="I56" s="107" t="s">
        <v>126</v>
      </c>
    </row>
    <row r="57" spans="1:9">
      <c r="A57" s="101" t="s">
        <v>22</v>
      </c>
      <c r="B57" s="106"/>
      <c r="C57" s="102"/>
      <c r="D57" s="106"/>
      <c r="E57" s="103"/>
      <c r="F57" s="101"/>
      <c r="G57" s="117"/>
      <c r="H57" s="105">
        <f t="shared" si="4"/>
        <v>0</v>
      </c>
      <c r="I57" s="107" t="s">
        <v>126</v>
      </c>
    </row>
    <row r="58" spans="1:9" ht="11" customHeight="1">
      <c r="A58" s="97" t="s">
        <v>393</v>
      </c>
    </row>
    <row r="59" spans="1:9" s="182" customFormat="1" ht="19">
      <c r="A59" s="271" t="s">
        <v>82</v>
      </c>
      <c r="B59" s="272"/>
      <c r="C59" s="271"/>
      <c r="D59" s="272"/>
      <c r="E59" s="273"/>
      <c r="F59" s="271"/>
      <c r="G59" s="274"/>
      <c r="H59" s="274">
        <f>SUM(H46:H58)</f>
        <v>0</v>
      </c>
    </row>
    <row r="62" spans="1:9" s="100" customFormat="1" ht="33" customHeight="1">
      <c r="A62" s="98" t="s">
        <v>19</v>
      </c>
      <c r="B62" s="98" t="s">
        <v>41</v>
      </c>
      <c r="C62" s="98" t="s">
        <v>285</v>
      </c>
      <c r="D62" s="98" t="s">
        <v>42</v>
      </c>
      <c r="E62" s="99" t="s">
        <v>86</v>
      </c>
      <c r="F62" s="99" t="s">
        <v>43</v>
      </c>
      <c r="G62" s="99" t="s">
        <v>44</v>
      </c>
      <c r="H62" s="99" t="s">
        <v>115</v>
      </c>
    </row>
    <row r="63" spans="1:9">
      <c r="A63" s="101" t="s">
        <v>23</v>
      </c>
      <c r="B63" s="101"/>
      <c r="C63" s="102"/>
      <c r="D63" s="101"/>
      <c r="E63" s="103"/>
      <c r="F63" s="101"/>
      <c r="G63" s="104">
        <f>IFERROR(VLOOKUP(C63,PHZH_Personal_2023!A$6:D$11, 4,FALSE),)</f>
        <v>0</v>
      </c>
      <c r="H63" s="105">
        <f t="shared" ref="H63:H74" si="8">G63*E63*F63/12</f>
        <v>0</v>
      </c>
      <c r="I63" s="107" t="s">
        <v>264</v>
      </c>
    </row>
    <row r="64" spans="1:9">
      <c r="A64" s="101" t="s">
        <v>23</v>
      </c>
      <c r="B64" s="106"/>
      <c r="C64" s="102"/>
      <c r="D64" s="106"/>
      <c r="E64" s="103"/>
      <c r="F64" s="101"/>
      <c r="G64" s="104">
        <f>IFERROR(VLOOKUP(C64,PHZH_Personal_2023!A$6:D$11, 4,FALSE),)</f>
        <v>0</v>
      </c>
      <c r="H64" s="105">
        <f t="shared" si="8"/>
        <v>0</v>
      </c>
      <c r="I64" s="107" t="s">
        <v>264</v>
      </c>
    </row>
    <row r="65" spans="1:9">
      <c r="A65" s="101" t="s">
        <v>23</v>
      </c>
      <c r="B65" s="106"/>
      <c r="C65" s="102"/>
      <c r="D65" s="106"/>
      <c r="E65" s="103"/>
      <c r="F65" s="101"/>
      <c r="G65" s="104">
        <f>IFERROR(VLOOKUP(C65,PHZH_Personal_2023!A$6:D$11, 4,FALSE),)</f>
        <v>0</v>
      </c>
      <c r="H65" s="105">
        <f t="shared" si="8"/>
        <v>0</v>
      </c>
      <c r="I65" s="107" t="s">
        <v>264</v>
      </c>
    </row>
    <row r="66" spans="1:9">
      <c r="A66" s="101" t="s">
        <v>23</v>
      </c>
      <c r="B66" s="106"/>
      <c r="C66" s="102"/>
      <c r="D66" s="106"/>
      <c r="E66" s="103"/>
      <c r="F66" s="101"/>
      <c r="G66" s="104">
        <f>IFERROR(VLOOKUP(C66,PHZH_Personal_2023!A$6:D$11, 4,FALSE),)</f>
        <v>0</v>
      </c>
      <c r="H66" s="105">
        <f t="shared" si="8"/>
        <v>0</v>
      </c>
      <c r="I66" s="107" t="s">
        <v>264</v>
      </c>
    </row>
    <row r="67" spans="1:9">
      <c r="A67" s="101" t="s">
        <v>23</v>
      </c>
      <c r="B67" s="106"/>
      <c r="C67" s="102"/>
      <c r="D67" s="106"/>
      <c r="E67" s="103"/>
      <c r="F67" s="101"/>
      <c r="G67" s="104">
        <f>IFERROR(VLOOKUP(C67,PHZH_Personal_2023!A$6:D$11, 4,FALSE),)</f>
        <v>0</v>
      </c>
      <c r="H67" s="105">
        <f t="shared" si="8"/>
        <v>0</v>
      </c>
      <c r="I67" s="107" t="s">
        <v>264</v>
      </c>
    </row>
    <row r="68" spans="1:9">
      <c r="A68" s="101" t="s">
        <v>23</v>
      </c>
      <c r="B68" s="106"/>
      <c r="C68" s="102"/>
      <c r="D68" s="106"/>
      <c r="E68" s="103"/>
      <c r="F68" s="101"/>
      <c r="G68" s="104">
        <f>IFERROR(VLOOKUP(C68,PHZH_Personal_2023!A$6:D$11, 4,FALSE),)</f>
        <v>0</v>
      </c>
      <c r="H68" s="105">
        <f t="shared" ref="H68" si="9">G68*E68*F68/12</f>
        <v>0</v>
      </c>
      <c r="I68" s="107" t="s">
        <v>264</v>
      </c>
    </row>
    <row r="69" spans="1:9">
      <c r="A69" s="101" t="s">
        <v>23</v>
      </c>
      <c r="B69" s="106"/>
      <c r="C69" s="102"/>
      <c r="D69" s="106"/>
      <c r="E69" s="103"/>
      <c r="F69" s="101"/>
      <c r="G69" s="117"/>
      <c r="H69" s="105">
        <f t="shared" si="8"/>
        <v>0</v>
      </c>
      <c r="I69" s="107" t="s">
        <v>126</v>
      </c>
    </row>
    <row r="70" spans="1:9">
      <c r="A70" s="101" t="s">
        <v>23</v>
      </c>
      <c r="B70" s="106"/>
      <c r="C70" s="102"/>
      <c r="D70" s="106"/>
      <c r="E70" s="103"/>
      <c r="F70" s="101"/>
      <c r="G70" s="117"/>
      <c r="H70" s="105">
        <f t="shared" ref="H70" si="10">G70*E70*F70/12</f>
        <v>0</v>
      </c>
      <c r="I70" s="107" t="s">
        <v>126</v>
      </c>
    </row>
    <row r="71" spans="1:9">
      <c r="A71" s="101" t="s">
        <v>23</v>
      </c>
      <c r="B71" s="106"/>
      <c r="C71" s="102"/>
      <c r="D71" s="106"/>
      <c r="E71" s="103"/>
      <c r="F71" s="101"/>
      <c r="G71" s="117"/>
      <c r="H71" s="105">
        <f t="shared" si="8"/>
        <v>0</v>
      </c>
      <c r="I71" s="107" t="s">
        <v>126</v>
      </c>
    </row>
    <row r="72" spans="1:9">
      <c r="A72" s="101" t="s">
        <v>23</v>
      </c>
      <c r="B72" s="106"/>
      <c r="C72" s="102"/>
      <c r="D72" s="106"/>
      <c r="E72" s="103"/>
      <c r="F72" s="101"/>
      <c r="G72" s="117"/>
      <c r="H72" s="105">
        <f t="shared" si="8"/>
        <v>0</v>
      </c>
      <c r="I72" s="107" t="s">
        <v>126</v>
      </c>
    </row>
    <row r="73" spans="1:9">
      <c r="A73" s="101" t="s">
        <v>23</v>
      </c>
      <c r="B73" s="106"/>
      <c r="C73" s="102"/>
      <c r="D73" s="106"/>
      <c r="E73" s="103"/>
      <c r="F73" s="101"/>
      <c r="G73" s="117"/>
      <c r="H73" s="105">
        <f t="shared" si="8"/>
        <v>0</v>
      </c>
      <c r="I73" s="107" t="s">
        <v>126</v>
      </c>
    </row>
    <row r="74" spans="1:9">
      <c r="A74" s="101" t="s">
        <v>23</v>
      </c>
      <c r="B74" s="106"/>
      <c r="C74" s="102"/>
      <c r="D74" s="106"/>
      <c r="E74" s="103"/>
      <c r="F74" s="101"/>
      <c r="G74" s="117"/>
      <c r="H74" s="105">
        <f t="shared" si="8"/>
        <v>0</v>
      </c>
      <c r="I74" s="107" t="s">
        <v>126</v>
      </c>
    </row>
    <row r="75" spans="1:9" ht="11" customHeight="1">
      <c r="A75" s="97" t="s">
        <v>392</v>
      </c>
    </row>
    <row r="76" spans="1:9" s="182" customFormat="1" ht="19">
      <c r="A76" s="271" t="s">
        <v>85</v>
      </c>
      <c r="B76" s="272"/>
      <c r="C76" s="271"/>
      <c r="D76" s="272"/>
      <c r="E76" s="273"/>
      <c r="F76" s="271"/>
      <c r="G76" s="274"/>
      <c r="H76" s="274">
        <f>SUM(H63:H75)</f>
        <v>0</v>
      </c>
    </row>
  </sheetData>
  <sheetProtection sheet="1" objects="1" scenarios="1"/>
  <hyperlinks>
    <hyperlink ref="A9" location="Personalkosten!A76" display="Kalkulationsschema PHZH" xr:uid="{8439509F-5114-4F4A-891C-287A1E1A76F9}"/>
    <hyperlink ref="A6" location="Personalkosten!A25" display="Kalkulationsschema UZH" xr:uid="{5E5611FF-3F26-A341-97C4-40F2E2B57923}"/>
    <hyperlink ref="A7" location="Personalkosten!A29"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9E5D273B-34DB-804D-8BA0-B3A3BA32AD5A}">
          <x14:formula1>
            <xm:f>ZHAW_Personal!$A$6:$A$10</xm:f>
          </x14:formula1>
          <xm:sqref>C29:C34</xm:sqref>
        </x14:dataValidation>
        <x14:dataValidation type="list" allowBlank="1" showInputMessage="1" showErrorMessage="1" xr:uid="{14CAAE24-41E2-684E-AA22-540D57E92455}">
          <x14:formula1>
            <xm:f>ZHDK_Personal!$A$6:$A$15</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04C56717-37E1-E041-A3CC-1928B7760E30}">
          <x14:formula1>
            <xm:f>UZH_Personal_2023!$A$4:$A$11</xm:f>
          </x14:formula1>
          <xm:sqref>C12:C17</xm:sqref>
        </x14:dataValidation>
        <x14:dataValidation type="list" allowBlank="1" showInputMessage="1" xr:uid="{F756348D-DAAE-1642-95CB-30787B4A2CB1}">
          <x14:formula1>
            <xm:f>ZHDK_Personal!$A$6:$A$15</xm:f>
          </x14:formula1>
          <xm:sqref>C46:C51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012-EC0B-B249-820B-D8C44F7BC9C5}">
  <sheetPr>
    <tabColor theme="4" tint="0.79998168889431442"/>
    <pageSetUpPr fitToPage="1"/>
  </sheetPr>
  <dimension ref="A1:G56"/>
  <sheetViews>
    <sheetView zoomScale="150" zoomScaleNormal="150" workbookViewId="0">
      <selection activeCell="B4" sqref="B4:B18"/>
    </sheetView>
  </sheetViews>
  <sheetFormatPr baseColWidth="10" defaultRowHeight="16"/>
  <cols>
    <col min="1" max="1" width="12.6640625" bestFit="1" customWidth="1"/>
    <col min="2" max="2" width="11.1640625" bestFit="1" customWidth="1"/>
    <col min="3" max="3" width="14" customWidth="1"/>
    <col min="5" max="5" width="19.83203125" bestFit="1" customWidth="1"/>
    <col min="6" max="6" width="9.5" bestFit="1" customWidth="1"/>
    <col min="7" max="7" width="11.5" bestFit="1" customWidth="1"/>
  </cols>
  <sheetData>
    <row r="1" spans="1:7" ht="19">
      <c r="A1" s="337" t="s">
        <v>350</v>
      </c>
      <c r="B1" s="337"/>
      <c r="C1" s="337"/>
      <c r="D1" s="337"/>
      <c r="E1" s="337"/>
      <c r="F1" s="337"/>
      <c r="G1" s="337"/>
    </row>
    <row r="2" spans="1:7">
      <c r="A2" s="219"/>
      <c r="B2" s="232"/>
    </row>
    <row r="3" spans="1:7" ht="19">
      <c r="A3" s="242" t="s">
        <v>353</v>
      </c>
      <c r="B3" s="243" t="s">
        <v>354</v>
      </c>
      <c r="C3" s="243" t="s">
        <v>355</v>
      </c>
      <c r="E3" s="233"/>
      <c r="F3" s="234" t="s">
        <v>351</v>
      </c>
      <c r="G3" s="234" t="s">
        <v>352</v>
      </c>
    </row>
    <row r="4" spans="1:7">
      <c r="A4" s="244">
        <v>2023</v>
      </c>
      <c r="B4" s="245">
        <v>3.5000000000000003E-2</v>
      </c>
      <c r="C4" s="246" t="s">
        <v>348</v>
      </c>
      <c r="E4" s="235" t="s">
        <v>310</v>
      </c>
      <c r="F4" s="236">
        <v>1000</v>
      </c>
      <c r="G4" s="236">
        <v>100000</v>
      </c>
    </row>
    <row r="5" spans="1:7">
      <c r="A5" s="244">
        <v>2022</v>
      </c>
      <c r="B5" s="245">
        <v>8.9999999999999993E-3</v>
      </c>
      <c r="C5" s="246" t="s">
        <v>349</v>
      </c>
      <c r="E5" s="237" t="s">
        <v>309</v>
      </c>
      <c r="F5" s="238">
        <v>0.02</v>
      </c>
      <c r="G5" s="238">
        <v>0.02</v>
      </c>
    </row>
    <row r="6" spans="1:7">
      <c r="A6" s="244">
        <v>2021</v>
      </c>
      <c r="B6" s="245">
        <v>0</v>
      </c>
      <c r="C6" s="246" t="s">
        <v>356</v>
      </c>
      <c r="E6" s="237" t="s">
        <v>308</v>
      </c>
      <c r="F6" s="239">
        <v>5</v>
      </c>
      <c r="G6" s="239">
        <v>5</v>
      </c>
    </row>
    <row r="7" spans="1:7">
      <c r="A7" s="244">
        <v>2020</v>
      </c>
      <c r="B7" s="245">
        <v>1E-3</v>
      </c>
      <c r="C7" s="246" t="s">
        <v>357</v>
      </c>
      <c r="E7" s="237" t="s">
        <v>311</v>
      </c>
      <c r="F7" s="240">
        <f>(F4*(1+F5)^F6)</f>
        <v>1104.0808032</v>
      </c>
      <c r="G7" s="240">
        <f>G4/0.90573</f>
        <v>110408.17903790313</v>
      </c>
    </row>
    <row r="8" spans="1:7">
      <c r="A8" s="244">
        <v>2019</v>
      </c>
      <c r="B8" s="245">
        <v>0.01</v>
      </c>
      <c r="C8" s="246" t="s">
        <v>358</v>
      </c>
      <c r="E8" s="237" t="s">
        <v>31</v>
      </c>
      <c r="F8" s="240">
        <f>F7-F4</f>
        <v>104.08080319999999</v>
      </c>
      <c r="G8" s="240"/>
    </row>
    <row r="9" spans="1:7">
      <c r="A9" s="244">
        <v>2018</v>
      </c>
      <c r="B9" s="245">
        <v>5.0000000000000001E-3</v>
      </c>
      <c r="C9" s="246" t="s">
        <v>359</v>
      </c>
      <c r="E9" s="237" t="s">
        <v>332</v>
      </c>
      <c r="F9" s="240">
        <f>(F4/(1+F5)^F6)</f>
        <v>905.73080982991587</v>
      </c>
      <c r="G9" s="240">
        <f>G4*0.90573</f>
        <v>90573</v>
      </c>
    </row>
    <row r="10" spans="1:7">
      <c r="A10" s="244">
        <v>2017</v>
      </c>
      <c r="B10" s="245">
        <v>0</v>
      </c>
      <c r="C10" s="246" t="s">
        <v>360</v>
      </c>
      <c r="E10" s="237" t="s">
        <v>31</v>
      </c>
      <c r="F10" s="241">
        <f>F9-F4</f>
        <v>-94.26919017008413</v>
      </c>
      <c r="G10" s="239"/>
    </row>
    <row r="11" spans="1:7">
      <c r="A11" s="244">
        <v>2016</v>
      </c>
      <c r="B11" s="245">
        <v>0</v>
      </c>
      <c r="C11" s="246" t="s">
        <v>361</v>
      </c>
    </row>
    <row r="12" spans="1:7">
      <c r="A12" s="244">
        <v>2015</v>
      </c>
      <c r="B12" s="245">
        <v>2E-3</v>
      </c>
      <c r="C12" s="246" t="s">
        <v>362</v>
      </c>
      <c r="E12" s="219" t="s">
        <v>312</v>
      </c>
      <c r="F12" s="220">
        <f>F4+(F4*F$5)</f>
        <v>1020</v>
      </c>
      <c r="G12" s="220">
        <f>G4+(G4*G$5)</f>
        <v>102000</v>
      </c>
    </row>
    <row r="13" spans="1:7">
      <c r="A13" s="244">
        <v>2014</v>
      </c>
      <c r="B13" s="245">
        <v>0</v>
      </c>
      <c r="C13" s="246" t="s">
        <v>363</v>
      </c>
      <c r="E13" s="219" t="s">
        <v>313</v>
      </c>
      <c r="F13" s="220">
        <f t="shared" ref="F13:F31" si="0">F12+(F12*F$5)</f>
        <v>1040.4000000000001</v>
      </c>
      <c r="G13" s="220">
        <f t="shared" ref="G13:G31" si="1">G12+(G12*G$5)</f>
        <v>104040</v>
      </c>
    </row>
    <row r="14" spans="1:7">
      <c r="A14" s="244">
        <v>2013</v>
      </c>
      <c r="B14" s="245">
        <v>0</v>
      </c>
      <c r="C14" s="246" t="s">
        <v>364</v>
      </c>
      <c r="E14" s="219" t="s">
        <v>314</v>
      </c>
      <c r="F14" s="220">
        <f t="shared" si="0"/>
        <v>1061.2080000000001</v>
      </c>
      <c r="G14" s="220">
        <f t="shared" si="1"/>
        <v>106120.8</v>
      </c>
    </row>
    <row r="15" spans="1:7">
      <c r="A15" s="244">
        <v>2012</v>
      </c>
      <c r="B15" s="245">
        <v>5.0000000000000001E-3</v>
      </c>
      <c r="C15" s="246" t="s">
        <v>365</v>
      </c>
      <c r="E15" s="219" t="s">
        <v>315</v>
      </c>
      <c r="F15" s="220">
        <f t="shared" si="0"/>
        <v>1082.4321600000001</v>
      </c>
      <c r="G15" s="220">
        <f t="shared" si="1"/>
        <v>108243.216</v>
      </c>
    </row>
    <row r="16" spans="1:7">
      <c r="A16" s="244">
        <v>2011</v>
      </c>
      <c r="B16" s="245">
        <v>3.0000000000000001E-3</v>
      </c>
      <c r="C16" s="246" t="s">
        <v>366</v>
      </c>
      <c r="E16" s="219" t="s">
        <v>316</v>
      </c>
      <c r="F16" s="220">
        <f t="shared" si="0"/>
        <v>1104.0808032</v>
      </c>
      <c r="G16" s="220">
        <f t="shared" si="1"/>
        <v>110408.08031999999</v>
      </c>
    </row>
    <row r="17" spans="1:7">
      <c r="A17" s="244">
        <v>2010</v>
      </c>
      <c r="B17" s="245">
        <v>0</v>
      </c>
      <c r="C17" s="246" t="s">
        <v>367</v>
      </c>
      <c r="E17" s="219" t="s">
        <v>317</v>
      </c>
      <c r="F17" s="220">
        <f t="shared" si="0"/>
        <v>1126.1624192639999</v>
      </c>
      <c r="G17" s="220">
        <f t="shared" si="1"/>
        <v>112616.24192639999</v>
      </c>
    </row>
    <row r="18" spans="1:7">
      <c r="A18" s="244">
        <v>2009</v>
      </c>
      <c r="B18" s="245">
        <v>1.7000000000000001E-2</v>
      </c>
      <c r="C18" s="246" t="s">
        <v>368</v>
      </c>
      <c r="E18" s="219" t="s">
        <v>318</v>
      </c>
      <c r="F18" s="220">
        <f t="shared" si="0"/>
        <v>1148.6856676492798</v>
      </c>
      <c r="G18" s="220">
        <f t="shared" si="1"/>
        <v>114868.56676492799</v>
      </c>
    </row>
    <row r="19" spans="1:7">
      <c r="E19" s="219" t="s">
        <v>319</v>
      </c>
      <c r="F19" s="220">
        <f t="shared" si="0"/>
        <v>1171.6593810022655</v>
      </c>
      <c r="G19" s="220">
        <f t="shared" si="1"/>
        <v>117165.93810022656</v>
      </c>
    </row>
    <row r="20" spans="1:7">
      <c r="A20" s="247" t="s">
        <v>346</v>
      </c>
      <c r="B20" s="248">
        <f>AVERAGE(B5:B18)</f>
        <v>3.7142857142857142E-3</v>
      </c>
      <c r="C20" s="247" t="s">
        <v>344</v>
      </c>
      <c r="E20" s="219" t="s">
        <v>320</v>
      </c>
      <c r="F20" s="220">
        <f t="shared" si="0"/>
        <v>1195.0925686223109</v>
      </c>
      <c r="G20" s="220">
        <f t="shared" si="1"/>
        <v>119509.25686223109</v>
      </c>
    </row>
    <row r="21" spans="1:7">
      <c r="A21" s="247" t="s">
        <v>347</v>
      </c>
      <c r="B21" s="248">
        <f>AVERAGE(B4:B18)</f>
        <v>5.8000000000000005E-3</v>
      </c>
      <c r="C21" s="247" t="s">
        <v>345</v>
      </c>
      <c r="E21" s="219" t="s">
        <v>321</v>
      </c>
      <c r="F21" s="220">
        <f t="shared" si="0"/>
        <v>1218.994419994757</v>
      </c>
      <c r="G21" s="220">
        <f t="shared" si="1"/>
        <v>121899.44199947572</v>
      </c>
    </row>
    <row r="22" spans="1:7">
      <c r="E22" s="219" t="s">
        <v>322</v>
      </c>
      <c r="F22" s="220">
        <f t="shared" si="0"/>
        <v>1243.3743083946522</v>
      </c>
      <c r="G22" s="220">
        <f t="shared" si="1"/>
        <v>124337.43083946523</v>
      </c>
    </row>
    <row r="23" spans="1:7">
      <c r="E23" s="219" t="s">
        <v>323</v>
      </c>
      <c r="F23" s="220">
        <f t="shared" si="0"/>
        <v>1268.2417945625452</v>
      </c>
      <c r="G23" s="220">
        <f t="shared" si="1"/>
        <v>126824.17945625454</v>
      </c>
    </row>
    <row r="24" spans="1:7">
      <c r="E24" s="219" t="s">
        <v>324</v>
      </c>
      <c r="F24" s="220">
        <f t="shared" si="0"/>
        <v>1293.6066304537962</v>
      </c>
      <c r="G24" s="220">
        <f t="shared" si="1"/>
        <v>129360.66304537962</v>
      </c>
    </row>
    <row r="25" spans="1:7">
      <c r="E25" s="219" t="s">
        <v>325</v>
      </c>
      <c r="F25" s="220">
        <f t="shared" si="0"/>
        <v>1319.4787630628721</v>
      </c>
      <c r="G25" s="220">
        <f t="shared" si="1"/>
        <v>131947.87630628722</v>
      </c>
    </row>
    <row r="26" spans="1:7">
      <c r="E26" s="219" t="s">
        <v>326</v>
      </c>
      <c r="F26" s="220">
        <f t="shared" si="0"/>
        <v>1345.8683383241296</v>
      </c>
      <c r="G26" s="220">
        <f t="shared" si="1"/>
        <v>134586.83383241296</v>
      </c>
    </row>
    <row r="27" spans="1:7">
      <c r="E27" s="219" t="s">
        <v>327</v>
      </c>
      <c r="F27" s="220">
        <f t="shared" si="0"/>
        <v>1372.7857050906123</v>
      </c>
      <c r="G27" s="220">
        <f t="shared" si="1"/>
        <v>137278.57050906122</v>
      </c>
    </row>
    <row r="28" spans="1:7">
      <c r="E28" s="219" t="s">
        <v>328</v>
      </c>
      <c r="F28" s="220">
        <f t="shared" si="0"/>
        <v>1400.2414191924245</v>
      </c>
      <c r="G28" s="220">
        <f t="shared" si="1"/>
        <v>140024.14191924245</v>
      </c>
    </row>
    <row r="29" spans="1:7">
      <c r="E29" s="219" t="s">
        <v>329</v>
      </c>
      <c r="F29" s="220">
        <f t="shared" si="0"/>
        <v>1428.2462475762729</v>
      </c>
      <c r="G29" s="220">
        <f t="shared" si="1"/>
        <v>142824.62475762729</v>
      </c>
    </row>
    <row r="30" spans="1:7">
      <c r="E30" s="219" t="s">
        <v>330</v>
      </c>
      <c r="F30" s="220">
        <f t="shared" si="0"/>
        <v>1456.8111725277984</v>
      </c>
      <c r="G30" s="220">
        <f t="shared" si="1"/>
        <v>145681.11725277983</v>
      </c>
    </row>
    <row r="31" spans="1:7">
      <c r="E31" s="219" t="s">
        <v>331</v>
      </c>
      <c r="F31" s="220">
        <f t="shared" si="0"/>
        <v>1485.9473959783543</v>
      </c>
      <c r="G31" s="220">
        <f t="shared" si="1"/>
        <v>148594.73959783543</v>
      </c>
    </row>
    <row r="36" spans="1:3">
      <c r="C36" s="220"/>
    </row>
    <row r="38" spans="1:3">
      <c r="A38" s="232"/>
    </row>
    <row r="39" spans="1:3">
      <c r="A39" s="249"/>
      <c r="B39" s="250"/>
    </row>
    <row r="40" spans="1:3">
      <c r="A40" s="249"/>
      <c r="B40" s="250"/>
    </row>
    <row r="41" spans="1:3">
      <c r="A41" s="249"/>
      <c r="B41" s="250"/>
    </row>
    <row r="42" spans="1:3">
      <c r="A42" s="249"/>
      <c r="B42" s="250"/>
    </row>
    <row r="43" spans="1:3">
      <c r="A43" s="249"/>
      <c r="B43" s="250"/>
    </row>
    <row r="44" spans="1:3">
      <c r="A44" s="249"/>
      <c r="B44" s="250"/>
    </row>
    <row r="45" spans="1:3">
      <c r="A45" s="249"/>
      <c r="B45" s="250"/>
    </row>
    <row r="46" spans="1:3">
      <c r="A46" s="249"/>
      <c r="B46" s="250"/>
    </row>
    <row r="47" spans="1:3">
      <c r="A47" s="249"/>
      <c r="B47" s="250"/>
    </row>
    <row r="48" spans="1:3">
      <c r="A48" s="249"/>
      <c r="B48" s="250"/>
    </row>
    <row r="49" spans="1:2">
      <c r="A49" s="249"/>
      <c r="B49" s="250"/>
    </row>
    <row r="50" spans="1:2">
      <c r="A50" s="249"/>
      <c r="B50" s="250"/>
    </row>
    <row r="51" spans="1:2">
      <c r="A51" s="249"/>
      <c r="B51" s="250"/>
    </row>
    <row r="52" spans="1:2">
      <c r="A52" s="249"/>
      <c r="B52" s="250"/>
    </row>
    <row r="53" spans="1:2">
      <c r="A53" s="249"/>
      <c r="B53" s="250"/>
    </row>
    <row r="55" spans="1:2">
      <c r="B55" s="251"/>
    </row>
    <row r="56" spans="1:2">
      <c r="B56" s="251"/>
    </row>
  </sheetData>
  <mergeCells count="1">
    <mergeCell ref="A1:G1"/>
  </mergeCells>
  <phoneticPr fontId="69" type="noConversion"/>
  <pageMargins left="0.7" right="0.7" top="0.78740157499999996" bottom="0.78740157499999996" header="0.3" footer="0.3"/>
  <pageSetup paperSize="9" scale="9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EDE9-1EDF-F049-ABD9-4AAD9C4E9BA0}">
  <sheetPr>
    <tabColor theme="9" tint="0.79998168889431442"/>
  </sheetPr>
  <dimension ref="A1:H40"/>
  <sheetViews>
    <sheetView zoomScale="160" zoomScaleNormal="160" workbookViewId="0">
      <selection sqref="A1:F1"/>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369</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269">
        <f>+B7*C7</f>
        <v>171000</v>
      </c>
      <c r="E7" s="15">
        <f>+D7/12</f>
        <v>14250</v>
      </c>
      <c r="F7" s="16">
        <f>+B7*8.4</f>
        <v>756</v>
      </c>
      <c r="H7" s="268"/>
    </row>
    <row r="8" spans="1:8">
      <c r="A8" s="11" t="s">
        <v>45</v>
      </c>
      <c r="B8" s="12">
        <v>90</v>
      </c>
      <c r="C8" s="13">
        <v>1900</v>
      </c>
      <c r="D8" s="269">
        <f t="shared" ref="D8:D11" si="0">+B8*C8</f>
        <v>171000</v>
      </c>
      <c r="E8" s="15">
        <f t="shared" ref="E8:E11" si="1">+D8/12</f>
        <v>14250</v>
      </c>
      <c r="F8" s="16">
        <f t="shared" ref="F8:F11" si="2">+B8*8.4</f>
        <v>756</v>
      </c>
      <c r="H8" s="268"/>
    </row>
    <row r="9" spans="1:8">
      <c r="A9" s="11" t="s">
        <v>47</v>
      </c>
      <c r="B9" s="12">
        <v>70</v>
      </c>
      <c r="C9" s="13">
        <v>1900</v>
      </c>
      <c r="D9" s="269">
        <f t="shared" si="0"/>
        <v>133000</v>
      </c>
      <c r="E9" s="15">
        <f t="shared" si="1"/>
        <v>11083.333333333334</v>
      </c>
      <c r="F9" s="16">
        <f t="shared" si="2"/>
        <v>588</v>
      </c>
      <c r="H9" s="268"/>
    </row>
    <row r="10" spans="1:8">
      <c r="A10" s="11" t="s">
        <v>157</v>
      </c>
      <c r="B10" s="12">
        <v>40</v>
      </c>
      <c r="C10" s="13">
        <v>1900</v>
      </c>
      <c r="D10" s="269">
        <f t="shared" si="0"/>
        <v>76000</v>
      </c>
      <c r="E10" s="15">
        <f t="shared" si="1"/>
        <v>6333.333333333333</v>
      </c>
      <c r="F10" s="16">
        <f t="shared" si="2"/>
        <v>336</v>
      </c>
      <c r="H10" s="268"/>
    </row>
    <row r="11" spans="1:8">
      <c r="A11" s="17" t="s">
        <v>266</v>
      </c>
      <c r="B11" s="252">
        <v>57</v>
      </c>
      <c r="C11" s="19">
        <v>1900</v>
      </c>
      <c r="D11" s="270">
        <f t="shared" si="0"/>
        <v>108300</v>
      </c>
      <c r="E11" s="21">
        <f t="shared" si="1"/>
        <v>9025</v>
      </c>
      <c r="F11" s="22">
        <f t="shared" si="2"/>
        <v>478.8</v>
      </c>
      <c r="H11" s="268"/>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rgb="FFFF0000"/>
    <pageSetUpPr fitToPage="1"/>
  </sheetPr>
  <dimension ref="A1:N27"/>
  <sheetViews>
    <sheetView zoomScale="120" zoomScaleNormal="120" workbookViewId="0">
      <selection activeCell="M10" sqref="M10"/>
    </sheetView>
  </sheetViews>
  <sheetFormatPr baseColWidth="10" defaultRowHeight="13"/>
  <cols>
    <col min="1" max="1" width="26.83203125" style="1" bestFit="1" customWidth="1"/>
    <col min="2" max="2" width="8.33203125" style="1" bestFit="1" customWidth="1"/>
    <col min="3" max="11" width="9" style="1" bestFit="1" customWidth="1"/>
    <col min="12" max="12" width="12.33203125" style="1" bestFit="1" customWidth="1"/>
    <col min="13" max="13" width="16.6640625" style="1" bestFit="1" customWidth="1"/>
    <col min="14" max="14" width="10.83203125" style="1"/>
    <col min="15" max="15" width="13.5" style="1" bestFit="1" customWidth="1"/>
    <col min="16" max="16384" width="10.83203125" style="1"/>
  </cols>
  <sheetData>
    <row r="1" spans="1:14" ht="15">
      <c r="A1" s="5" t="s">
        <v>51</v>
      </c>
      <c r="B1" s="5"/>
      <c r="C1" s="124"/>
      <c r="D1" s="124"/>
      <c r="E1" s="124"/>
      <c r="F1" s="124"/>
      <c r="G1" s="124"/>
      <c r="H1" s="124"/>
      <c r="I1" s="124"/>
      <c r="J1" s="124"/>
      <c r="K1" s="124"/>
      <c r="L1" s="124"/>
      <c r="M1" s="6" t="s">
        <v>54</v>
      </c>
    </row>
    <row r="2" spans="1:14" ht="15">
      <c r="A2" s="7"/>
      <c r="B2" s="7"/>
      <c r="C2" s="125"/>
      <c r="D2" s="125"/>
      <c r="E2" s="125"/>
      <c r="F2" s="125"/>
      <c r="G2" s="125"/>
      <c r="H2" s="125"/>
      <c r="I2" s="125"/>
      <c r="J2" s="125"/>
      <c r="K2" s="125"/>
      <c r="L2" s="125"/>
      <c r="M2" s="8"/>
    </row>
    <row r="3" spans="1:14" ht="15">
      <c r="A3" s="9"/>
      <c r="B3" s="9" t="s">
        <v>256</v>
      </c>
      <c r="C3" s="133">
        <v>3</v>
      </c>
      <c r="D3" s="133">
        <v>4</v>
      </c>
      <c r="E3" s="133">
        <v>5</v>
      </c>
      <c r="F3" s="133">
        <v>6</v>
      </c>
      <c r="G3" s="133">
        <v>7</v>
      </c>
      <c r="H3" s="133">
        <v>8</v>
      </c>
      <c r="I3" s="133">
        <v>9</v>
      </c>
      <c r="J3" s="133">
        <v>10</v>
      </c>
      <c r="K3" s="133">
        <v>11</v>
      </c>
      <c r="L3" s="133" t="s">
        <v>254</v>
      </c>
      <c r="M3" s="10" t="s">
        <v>284</v>
      </c>
    </row>
    <row r="4" spans="1:14">
      <c r="A4" s="11"/>
      <c r="B4" s="128"/>
      <c r="C4" s="11"/>
      <c r="D4" s="11"/>
      <c r="E4" s="11"/>
      <c r="F4" s="11"/>
      <c r="G4" s="11"/>
      <c r="H4" s="11"/>
      <c r="I4" s="11"/>
      <c r="J4" s="11"/>
      <c r="K4" s="11"/>
      <c r="L4" s="127"/>
      <c r="M4" s="14"/>
      <c r="N4" s="14"/>
    </row>
    <row r="5" spans="1:14">
      <c r="A5" s="11" t="s">
        <v>278</v>
      </c>
      <c r="B5" s="128">
        <v>1</v>
      </c>
      <c r="C5" s="11">
        <v>61539</v>
      </c>
      <c r="D5" s="11">
        <v>62553</v>
      </c>
      <c r="E5" s="11">
        <v>63567</v>
      </c>
      <c r="F5" s="11">
        <v>64581</v>
      </c>
      <c r="G5" s="11">
        <v>65595</v>
      </c>
      <c r="H5" s="11">
        <v>66609</v>
      </c>
      <c r="I5" s="11">
        <v>67622</v>
      </c>
      <c r="J5" s="11">
        <v>68635</v>
      </c>
      <c r="K5" s="11">
        <v>69647</v>
      </c>
      <c r="L5" s="127">
        <f>AVERAGE(C5:K5)</f>
        <v>65594.222222222219</v>
      </c>
      <c r="M5" s="14">
        <f>+L5/B5*1.18</f>
        <v>77401.182222222211</v>
      </c>
      <c r="N5" s="14"/>
    </row>
    <row r="6" spans="1:14">
      <c r="A6" s="11" t="s">
        <v>279</v>
      </c>
      <c r="B6" s="128">
        <v>1</v>
      </c>
      <c r="C6" s="11">
        <v>71269</v>
      </c>
      <c r="D6" s="11">
        <v>72448</v>
      </c>
      <c r="E6" s="11">
        <v>73626</v>
      </c>
      <c r="F6" s="11">
        <v>74802</v>
      </c>
      <c r="G6" s="11">
        <v>75980</v>
      </c>
      <c r="H6" s="11">
        <v>77157</v>
      </c>
      <c r="I6" s="11">
        <v>78333</v>
      </c>
      <c r="J6" s="11">
        <v>79511</v>
      </c>
      <c r="K6" s="11">
        <v>80691</v>
      </c>
      <c r="L6" s="127">
        <f>AVERAGE(C6:K6)</f>
        <v>75979.666666666672</v>
      </c>
      <c r="M6" s="14">
        <f t="shared" ref="M6:M10" si="0">+L6/B6*1.18</f>
        <v>89656.006666666668</v>
      </c>
      <c r="N6" s="14"/>
    </row>
    <row r="7" spans="1:14">
      <c r="A7" s="11" t="s">
        <v>280</v>
      </c>
      <c r="B7" s="128">
        <v>0.6</v>
      </c>
      <c r="C7" s="11"/>
      <c r="D7" s="11"/>
      <c r="E7" s="11"/>
      <c r="F7" s="11"/>
      <c r="G7" s="11"/>
      <c r="H7" s="11"/>
      <c r="I7" s="11"/>
      <c r="J7" s="11"/>
      <c r="K7" s="11"/>
      <c r="L7" s="127">
        <v>47040</v>
      </c>
      <c r="M7" s="14">
        <f>+L7/B7*1.18</f>
        <v>92512</v>
      </c>
      <c r="N7" s="14"/>
    </row>
    <row r="8" spans="1:14">
      <c r="A8" s="11" t="s">
        <v>281</v>
      </c>
      <c r="B8" s="128">
        <v>0.6</v>
      </c>
      <c r="C8" s="11"/>
      <c r="D8" s="11"/>
      <c r="E8" s="11"/>
      <c r="F8" s="11"/>
      <c r="G8" s="11"/>
      <c r="H8" s="11"/>
      <c r="I8" s="11"/>
      <c r="J8" s="11"/>
      <c r="K8" s="11"/>
      <c r="L8" s="127">
        <v>48540</v>
      </c>
      <c r="M8" s="14">
        <f t="shared" si="0"/>
        <v>95462</v>
      </c>
      <c r="N8" s="14"/>
    </row>
    <row r="9" spans="1:14">
      <c r="A9" s="11" t="s">
        <v>282</v>
      </c>
      <c r="B9" s="128">
        <v>0.6</v>
      </c>
      <c r="C9" s="11"/>
      <c r="D9" s="11"/>
      <c r="E9" s="11"/>
      <c r="F9" s="11"/>
      <c r="G9" s="11"/>
      <c r="H9" s="11"/>
      <c r="I9" s="11"/>
      <c r="J9" s="11"/>
      <c r="K9" s="11"/>
      <c r="L9" s="127">
        <v>50040</v>
      </c>
      <c r="M9" s="14">
        <f t="shared" si="0"/>
        <v>98412</v>
      </c>
      <c r="N9" s="14"/>
    </row>
    <row r="10" spans="1:14">
      <c r="A10" s="17" t="s">
        <v>283</v>
      </c>
      <c r="B10" s="134">
        <v>1</v>
      </c>
      <c r="C10" s="17"/>
      <c r="D10" s="17"/>
      <c r="E10" s="17"/>
      <c r="F10" s="17"/>
      <c r="G10" s="17"/>
      <c r="H10" s="17"/>
      <c r="I10" s="17"/>
      <c r="J10" s="17"/>
      <c r="K10" s="17"/>
      <c r="L10" s="17">
        <v>95986</v>
      </c>
      <c r="M10" s="20">
        <f t="shared" si="0"/>
        <v>113263.48</v>
      </c>
      <c r="N10" s="14"/>
    </row>
    <row r="11" spans="1:14" s="122" customFormat="1" ht="16">
      <c r="C11" s="121"/>
      <c r="D11" s="121"/>
      <c r="E11" s="121"/>
      <c r="F11" s="121"/>
      <c r="G11" s="121"/>
      <c r="H11" s="121"/>
      <c r="I11" s="121"/>
      <c r="J11" s="121"/>
      <c r="K11" s="121"/>
      <c r="L11" s="11"/>
      <c r="M11" s="14"/>
    </row>
    <row r="12" spans="1:14" s="122" customFormat="1" ht="16">
      <c r="C12" s="121"/>
      <c r="D12" s="121"/>
      <c r="E12" s="121"/>
      <c r="F12" s="121"/>
      <c r="G12" s="121"/>
      <c r="H12" s="121"/>
      <c r="I12" s="121"/>
      <c r="J12" s="121"/>
      <c r="K12" s="121"/>
      <c r="L12" s="11"/>
      <c r="M12" s="14"/>
    </row>
    <row r="13" spans="1:14" s="122" customFormat="1" ht="16">
      <c r="C13" s="121"/>
      <c r="D13" s="121"/>
      <c r="E13" s="121"/>
      <c r="F13" s="121"/>
      <c r="G13" s="121"/>
      <c r="H13" s="121"/>
      <c r="I13" s="121"/>
      <c r="J13" s="121"/>
      <c r="K13" s="121"/>
    </row>
    <row r="14" spans="1:14" s="122" customFormat="1" ht="16">
      <c r="A14" s="123" t="s">
        <v>251</v>
      </c>
      <c r="B14" s="123"/>
      <c r="C14" s="126"/>
      <c r="D14" s="126"/>
      <c r="E14" s="126"/>
      <c r="F14" s="126"/>
      <c r="G14" s="126"/>
      <c r="H14" s="126"/>
      <c r="I14" s="126"/>
      <c r="J14" s="126"/>
      <c r="K14" s="126"/>
      <c r="L14" s="121"/>
    </row>
    <row r="15" spans="1:14" s="122" customFormat="1" ht="16">
      <c r="A15" s="122" t="s">
        <v>253</v>
      </c>
      <c r="C15" s="121"/>
      <c r="D15" s="121"/>
      <c r="E15" s="121"/>
      <c r="F15" s="121"/>
      <c r="G15" s="121"/>
      <c r="H15" s="121"/>
      <c r="I15" s="121"/>
      <c r="J15" s="121"/>
      <c r="K15" s="121"/>
      <c r="L15" s="121"/>
    </row>
    <row r="16" spans="1:14" s="122" customFormat="1" ht="16">
      <c r="C16" s="121"/>
      <c r="D16" s="121"/>
      <c r="E16" s="121"/>
      <c r="F16" s="121"/>
      <c r="G16" s="121"/>
      <c r="H16" s="121"/>
      <c r="I16" s="121"/>
      <c r="J16" s="121"/>
      <c r="K16" s="121"/>
      <c r="L16" s="1"/>
      <c r="M16" s="1"/>
    </row>
    <row r="17" spans="1:13" s="122" customFormat="1" ht="16">
      <c r="A17" s="122" t="s">
        <v>255</v>
      </c>
      <c r="C17" s="121"/>
      <c r="D17" s="121"/>
      <c r="E17" s="121"/>
      <c r="F17" s="121"/>
      <c r="G17" s="121"/>
      <c r="H17" s="121"/>
      <c r="I17" s="121"/>
      <c r="J17" s="121"/>
      <c r="K17" s="121"/>
      <c r="L17" s="1"/>
      <c r="M17" s="1"/>
    </row>
    <row r="18" spans="1:13" s="122" customFormat="1" ht="16">
      <c r="C18" s="121"/>
      <c r="D18" s="121"/>
      <c r="E18" s="121"/>
      <c r="F18" s="121"/>
      <c r="G18" s="121"/>
      <c r="H18" s="121"/>
      <c r="I18" s="121"/>
      <c r="J18" s="121"/>
      <c r="K18" s="121"/>
      <c r="L18" s="1"/>
      <c r="M18" s="1"/>
    </row>
    <row r="19" spans="1:13" s="122" customFormat="1" ht="16">
      <c r="A19" s="122" t="s">
        <v>252</v>
      </c>
      <c r="C19" s="121"/>
      <c r="D19" s="121"/>
      <c r="E19" s="121"/>
      <c r="F19" s="121"/>
      <c r="G19" s="121"/>
      <c r="H19" s="121"/>
      <c r="I19" s="121"/>
      <c r="J19" s="121"/>
      <c r="K19" s="121"/>
      <c r="L19" s="1"/>
      <c r="M19" s="1"/>
    </row>
    <row r="20" spans="1:13" s="122" customFormat="1" ht="16">
      <c r="A20" s="122" t="s">
        <v>257</v>
      </c>
      <c r="C20" s="121"/>
      <c r="D20" s="121"/>
      <c r="E20" s="121"/>
      <c r="F20" s="121"/>
      <c r="G20" s="121"/>
      <c r="H20" s="121"/>
      <c r="I20" s="121"/>
      <c r="J20" s="121"/>
      <c r="K20" s="121"/>
      <c r="L20" s="1"/>
      <c r="M20" s="1"/>
    </row>
    <row r="21" spans="1:13" s="122" customFormat="1" ht="16">
      <c r="C21" s="121"/>
      <c r="D21" s="121"/>
      <c r="E21" s="121"/>
      <c r="F21" s="121"/>
      <c r="G21" s="121"/>
      <c r="H21" s="121"/>
      <c r="I21" s="121"/>
      <c r="J21" s="121"/>
      <c r="K21" s="121"/>
      <c r="L21" s="1"/>
      <c r="M21" s="1"/>
    </row>
    <row r="22" spans="1:13" s="122" customFormat="1" ht="16">
      <c r="C22" s="121"/>
      <c r="D22" s="121"/>
      <c r="E22" s="121"/>
      <c r="F22" s="121"/>
      <c r="G22" s="121"/>
      <c r="H22" s="121"/>
      <c r="I22" s="121"/>
      <c r="J22" s="121"/>
      <c r="K22" s="121"/>
      <c r="L22" s="1"/>
      <c r="M22" s="1"/>
    </row>
    <row r="23" spans="1:13" s="122" customFormat="1" ht="16">
      <c r="C23" s="121"/>
      <c r="D23" s="121"/>
      <c r="E23" s="121"/>
      <c r="F23" s="121"/>
      <c r="G23" s="121"/>
      <c r="H23" s="121"/>
      <c r="I23" s="121"/>
      <c r="J23" s="121"/>
      <c r="K23" s="121"/>
      <c r="L23" s="1"/>
      <c r="M23" s="1"/>
    </row>
    <row r="24" spans="1:13" s="122" customFormat="1" ht="16">
      <c r="C24" s="121"/>
      <c r="D24" s="121"/>
      <c r="E24" s="121"/>
      <c r="F24" s="121"/>
      <c r="G24" s="121"/>
      <c r="H24" s="121"/>
      <c r="I24" s="121"/>
      <c r="J24" s="121"/>
      <c r="K24" s="121"/>
      <c r="L24" s="1"/>
      <c r="M24" s="1"/>
    </row>
    <row r="25" spans="1:13" s="122" customFormat="1" ht="16">
      <c r="C25" s="121"/>
      <c r="D25" s="121"/>
      <c r="E25" s="121"/>
      <c r="F25" s="121"/>
      <c r="G25" s="121"/>
      <c r="H25" s="121"/>
      <c r="I25" s="121"/>
      <c r="J25" s="121"/>
      <c r="K25" s="121"/>
      <c r="L25" s="1"/>
      <c r="M25" s="1"/>
    </row>
    <row r="26" spans="1:13" s="122" customFormat="1" ht="16">
      <c r="C26" s="121"/>
      <c r="D26" s="121"/>
      <c r="E26" s="121"/>
      <c r="F26" s="121"/>
      <c r="G26" s="121"/>
      <c r="H26" s="121"/>
      <c r="I26" s="121"/>
      <c r="J26" s="121"/>
      <c r="K26" s="121"/>
      <c r="L26" s="1"/>
      <c r="M26" s="1"/>
    </row>
    <row r="27" spans="1:13" s="122" customFormat="1" ht="16">
      <c r="C27" s="121"/>
      <c r="D27" s="121"/>
      <c r="E27" s="121"/>
      <c r="F27" s="121"/>
      <c r="G27" s="121"/>
      <c r="H27" s="121"/>
      <c r="I27" s="121"/>
      <c r="J27" s="121"/>
      <c r="K27" s="121"/>
      <c r="L27" s="1"/>
      <c r="M27" s="1"/>
    </row>
  </sheetData>
  <pageMargins left="0.7" right="0.7" top="0.78740157499999996" bottom="0.78740157499999996"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rgb="FFFF0000"/>
    <pageSetUpPr fitToPage="1"/>
  </sheetPr>
  <dimension ref="A1:R28"/>
  <sheetViews>
    <sheetView zoomScale="150" zoomScaleNormal="150" workbookViewId="0">
      <selection activeCell="C5" sqref="C5"/>
    </sheetView>
  </sheetViews>
  <sheetFormatPr baseColWidth="10" defaultColWidth="10.83203125" defaultRowHeight="16"/>
  <cols>
    <col min="1" max="1" width="49.5" style="122" bestFit="1" customWidth="1"/>
    <col min="2" max="2" width="8.6640625" style="122" bestFit="1" customWidth="1"/>
    <col min="3" max="11" width="9.33203125" style="122" bestFit="1" customWidth="1"/>
    <col min="12" max="12" width="12.6640625" style="122" bestFit="1" customWidth="1"/>
    <col min="13" max="13" width="17" style="227" bestFit="1" customWidth="1"/>
    <col min="14" max="14" width="16.6640625" style="122" customWidth="1"/>
    <col min="15" max="15" width="7" style="122" bestFit="1" customWidth="1"/>
    <col min="16" max="16" width="11.1640625" style="122" bestFit="1" customWidth="1"/>
    <col min="17" max="17" width="13.83203125" style="122" bestFit="1" customWidth="1"/>
    <col min="18" max="16384" width="10.83203125" style="122"/>
  </cols>
  <sheetData>
    <row r="1" spans="1:18" ht="26">
      <c r="A1" s="338" t="s">
        <v>339</v>
      </c>
      <c r="B1" s="338"/>
      <c r="C1" s="338"/>
      <c r="D1" s="338"/>
      <c r="E1" s="338"/>
      <c r="F1" s="338"/>
      <c r="G1" s="338"/>
      <c r="H1" s="338"/>
      <c r="I1" s="338"/>
      <c r="J1" s="338"/>
      <c r="K1" s="338"/>
      <c r="L1" s="338"/>
      <c r="M1" s="338"/>
      <c r="N1" s="338"/>
    </row>
    <row r="2" spans="1:18">
      <c r="A2" s="139"/>
      <c r="B2" s="139"/>
      <c r="C2" s="139"/>
      <c r="D2" s="139"/>
      <c r="E2" s="139"/>
      <c r="F2" s="139"/>
      <c r="G2" s="139"/>
      <c r="H2" s="139"/>
      <c r="I2" s="139"/>
      <c r="J2" s="139"/>
      <c r="K2" s="139"/>
      <c r="L2" s="139"/>
      <c r="M2" s="231" t="s">
        <v>54</v>
      </c>
      <c r="N2" s="138"/>
    </row>
    <row r="3" spans="1:18">
      <c r="A3" s="137" t="s">
        <v>51</v>
      </c>
      <c r="B3" s="139" t="s">
        <v>256</v>
      </c>
      <c r="C3" s="122">
        <v>3</v>
      </c>
      <c r="D3" s="122">
        <v>4</v>
      </c>
      <c r="E3" s="122">
        <v>5</v>
      </c>
      <c r="F3" s="122">
        <v>6</v>
      </c>
      <c r="G3" s="122">
        <v>7</v>
      </c>
      <c r="H3" s="122">
        <v>8</v>
      </c>
      <c r="I3" s="122">
        <v>9</v>
      </c>
      <c r="J3" s="122">
        <v>10</v>
      </c>
      <c r="K3" s="122">
        <v>11</v>
      </c>
      <c r="L3" s="226" t="s">
        <v>254</v>
      </c>
      <c r="M3" s="231" t="s">
        <v>338</v>
      </c>
      <c r="N3" s="140" t="s">
        <v>302</v>
      </c>
    </row>
    <row r="4" spans="1:18">
      <c r="A4" s="141"/>
      <c r="B4" s="141"/>
      <c r="C4" s="141"/>
      <c r="D4" s="141"/>
      <c r="E4" s="141"/>
      <c r="F4" s="141"/>
      <c r="G4" s="141"/>
      <c r="H4" s="141"/>
      <c r="I4" s="141"/>
      <c r="J4" s="141"/>
      <c r="K4" s="141"/>
      <c r="L4" s="141"/>
      <c r="M4" s="229"/>
      <c r="N4" s="142"/>
      <c r="P4" s="142"/>
    </row>
    <row r="5" spans="1:18">
      <c r="A5" s="143" t="s">
        <v>278</v>
      </c>
      <c r="B5" s="144">
        <v>1</v>
      </c>
      <c r="C5" s="122">
        <v>62093</v>
      </c>
      <c r="D5" s="122">
        <v>63116</v>
      </c>
      <c r="E5" s="122">
        <v>64139</v>
      </c>
      <c r="F5" s="122">
        <v>65162</v>
      </c>
      <c r="G5" s="122">
        <v>66185</v>
      </c>
      <c r="H5" s="122">
        <v>67208</v>
      </c>
      <c r="I5" s="122">
        <v>68231</v>
      </c>
      <c r="J5" s="122">
        <v>69253</v>
      </c>
      <c r="K5" s="122">
        <v>70274</v>
      </c>
      <c r="L5" s="145">
        <f>AVERAGE(C5:K5)</f>
        <v>66184.555555555562</v>
      </c>
      <c r="M5" s="229">
        <f>L5+(L5*N5)</f>
        <v>75450.393333333341</v>
      </c>
      <c r="N5" s="146">
        <v>0.14000000000000001</v>
      </c>
    </row>
    <row r="6" spans="1:18" ht="17" thickBot="1">
      <c r="A6" s="143" t="s">
        <v>279</v>
      </c>
      <c r="B6" s="144">
        <v>1</v>
      </c>
      <c r="C6" s="150">
        <v>71910</v>
      </c>
      <c r="D6" s="150">
        <v>73100</v>
      </c>
      <c r="E6" s="150">
        <v>74289</v>
      </c>
      <c r="F6" s="150">
        <v>75475</v>
      </c>
      <c r="G6" s="150">
        <v>76664</v>
      </c>
      <c r="H6" s="150">
        <v>77851</v>
      </c>
      <c r="I6" s="150">
        <v>79038</v>
      </c>
      <c r="J6" s="150">
        <v>80227</v>
      </c>
      <c r="K6" s="150">
        <v>81417</v>
      </c>
      <c r="L6" s="145">
        <f>AVERAGE(C6:K6)</f>
        <v>76663.444444444438</v>
      </c>
      <c r="M6" s="229">
        <f t="shared" ref="M6:M11" si="0">L6+(L6*N6)</f>
        <v>87396.32666666666</v>
      </c>
      <c r="N6" s="146">
        <v>0.14000000000000001</v>
      </c>
      <c r="Q6" s="151">
        <v>0.6</v>
      </c>
      <c r="R6" s="151">
        <v>1</v>
      </c>
    </row>
    <row r="7" spans="1:18">
      <c r="A7" s="141" t="s">
        <v>280</v>
      </c>
      <c r="B7" s="144">
        <v>0.6</v>
      </c>
      <c r="C7" s="141"/>
      <c r="D7" s="141"/>
      <c r="E7" s="141"/>
      <c r="F7" s="141"/>
      <c r="G7" s="141"/>
      <c r="H7" s="141"/>
      <c r="I7" s="141"/>
      <c r="J7" s="141"/>
      <c r="K7" s="145"/>
      <c r="L7" s="145">
        <v>47040</v>
      </c>
      <c r="M7" s="229">
        <f>(L7+(L7*N7))/B7</f>
        <v>89768.000000000015</v>
      </c>
      <c r="N7" s="148">
        <v>0.14499999999999999</v>
      </c>
      <c r="O7" s="122">
        <f>+M7/1.145</f>
        <v>78400.000000000015</v>
      </c>
      <c r="P7" s="122">
        <f>+O7*0.6</f>
        <v>47040.000000000007</v>
      </c>
      <c r="Q7" s="122">
        <f>+L7*1.145</f>
        <v>53860.800000000003</v>
      </c>
    </row>
    <row r="8" spans="1:18">
      <c r="A8" s="141" t="s">
        <v>281</v>
      </c>
      <c r="B8" s="144">
        <v>0.6</v>
      </c>
      <c r="C8" s="141"/>
      <c r="D8" s="141"/>
      <c r="E8" s="141"/>
      <c r="F8" s="141"/>
      <c r="G8" s="141"/>
      <c r="H8" s="141"/>
      <c r="I8" s="141"/>
      <c r="J8" s="141"/>
      <c r="K8" s="145"/>
      <c r="L8" s="145">
        <v>48540</v>
      </c>
      <c r="M8" s="229">
        <f t="shared" ref="M8:M9" si="1">(L8+(L8*N8))/B8</f>
        <v>92630.500000000015</v>
      </c>
      <c r="N8" s="148">
        <v>0.14499999999999999</v>
      </c>
      <c r="O8" s="122">
        <f>+M8/1.145</f>
        <v>80900.000000000015</v>
      </c>
      <c r="P8" s="122">
        <f>+O8*0.6</f>
        <v>48540.000000000007</v>
      </c>
      <c r="Q8" s="122">
        <f t="shared" ref="Q8:Q9" si="2">+L8*1.145</f>
        <v>55578.3</v>
      </c>
    </row>
    <row r="9" spans="1:18">
      <c r="A9" s="141" t="s">
        <v>282</v>
      </c>
      <c r="B9" s="144">
        <v>0.6</v>
      </c>
      <c r="C9" s="141"/>
      <c r="D9" s="141"/>
      <c r="E9" s="141"/>
      <c r="F9" s="141"/>
      <c r="G9" s="141"/>
      <c r="H9" s="141"/>
      <c r="I9" s="141"/>
      <c r="J9" s="141"/>
      <c r="K9" s="145"/>
      <c r="L9" s="145">
        <v>50040</v>
      </c>
      <c r="M9" s="229">
        <f t="shared" si="1"/>
        <v>95493.000000000015</v>
      </c>
      <c r="N9" s="148">
        <v>0.14499999999999999</v>
      </c>
      <c r="Q9" s="122">
        <f t="shared" si="2"/>
        <v>57295.8</v>
      </c>
    </row>
    <row r="10" spans="1:18">
      <c r="A10" s="141" t="s">
        <v>303</v>
      </c>
      <c r="B10" s="144">
        <v>1</v>
      </c>
      <c r="C10" s="141"/>
      <c r="D10" s="141"/>
      <c r="E10" s="141"/>
      <c r="F10" s="141"/>
      <c r="G10" s="141"/>
      <c r="H10" s="141"/>
      <c r="I10" s="141"/>
      <c r="J10" s="141"/>
      <c r="K10" s="141"/>
      <c r="L10" s="145">
        <v>90883</v>
      </c>
      <c r="M10" s="229">
        <f t="shared" si="0"/>
        <v>104515.45</v>
      </c>
      <c r="N10" s="146">
        <v>0.15</v>
      </c>
      <c r="P10" s="142"/>
    </row>
    <row r="11" spans="1:18">
      <c r="A11" s="141" t="s">
        <v>283</v>
      </c>
      <c r="B11" s="144">
        <v>1</v>
      </c>
      <c r="C11" s="141"/>
      <c r="D11" s="141"/>
      <c r="E11" s="141"/>
      <c r="F11" s="141"/>
      <c r="G11" s="141"/>
      <c r="H11" s="141"/>
      <c r="I11" s="141"/>
      <c r="J11" s="141"/>
      <c r="K11" s="141"/>
      <c r="L11" s="145">
        <v>96850</v>
      </c>
      <c r="M11" s="229">
        <f t="shared" si="0"/>
        <v>111377.5</v>
      </c>
      <c r="N11" s="146">
        <v>0.15</v>
      </c>
      <c r="P11" s="142"/>
    </row>
    <row r="12" spans="1:18">
      <c r="A12" s="141"/>
      <c r="B12" s="141"/>
      <c r="C12" s="141"/>
      <c r="D12" s="141"/>
      <c r="E12" s="141"/>
      <c r="F12" s="141"/>
      <c r="G12" s="141"/>
      <c r="H12" s="141"/>
      <c r="I12" s="141"/>
      <c r="J12" s="141"/>
      <c r="K12" s="141"/>
      <c r="L12" s="141"/>
      <c r="M12" s="228"/>
      <c r="N12" s="142"/>
      <c r="P12" s="142"/>
    </row>
    <row r="13" spans="1:18">
      <c r="A13" s="141"/>
      <c r="B13" s="141"/>
      <c r="C13" s="141"/>
      <c r="D13" s="141"/>
      <c r="E13" s="141"/>
      <c r="F13" s="141"/>
      <c r="G13" s="141"/>
      <c r="H13" s="141"/>
      <c r="I13" s="141"/>
      <c r="J13" s="141"/>
      <c r="K13" s="141"/>
      <c r="L13" s="141"/>
      <c r="M13" s="228"/>
      <c r="N13" s="142"/>
      <c r="P13" s="142"/>
    </row>
    <row r="14" spans="1:18">
      <c r="A14" s="141"/>
      <c r="B14" s="141"/>
      <c r="C14" s="141"/>
      <c r="D14" s="141"/>
      <c r="E14" s="141"/>
      <c r="F14" s="141"/>
      <c r="G14" s="141"/>
      <c r="H14" s="141"/>
      <c r="I14" s="141"/>
      <c r="J14" s="141"/>
      <c r="K14" s="141"/>
      <c r="L14" s="141"/>
      <c r="M14" s="228"/>
      <c r="N14" s="142"/>
      <c r="P14" s="142"/>
    </row>
    <row r="15" spans="1:18">
      <c r="A15" s="141"/>
      <c r="B15" s="141"/>
      <c r="C15" s="141"/>
      <c r="D15" s="141"/>
      <c r="E15" s="141"/>
      <c r="F15" s="141"/>
      <c r="G15" s="141"/>
      <c r="H15" s="141"/>
      <c r="I15" s="141"/>
      <c r="J15" s="141"/>
      <c r="K15" s="141"/>
      <c r="L15" s="141"/>
      <c r="M15" s="228"/>
      <c r="N15" s="142"/>
      <c r="P15" s="142"/>
    </row>
    <row r="16" spans="1:18">
      <c r="A16" s="141"/>
      <c r="B16" s="141"/>
      <c r="C16" s="141"/>
      <c r="D16" s="141"/>
      <c r="E16" s="141"/>
      <c r="F16" s="141"/>
      <c r="G16" s="141"/>
      <c r="H16" s="141"/>
      <c r="I16" s="141"/>
      <c r="J16" s="141"/>
      <c r="K16" s="141"/>
      <c r="L16" s="141"/>
      <c r="M16" s="228"/>
      <c r="N16" s="142"/>
      <c r="P16" s="142"/>
    </row>
    <row r="17" spans="1:16">
      <c r="A17" s="149"/>
      <c r="B17" s="149"/>
      <c r="C17" s="149"/>
      <c r="D17" s="149"/>
      <c r="E17" s="149"/>
      <c r="F17" s="149"/>
      <c r="G17" s="149"/>
      <c r="H17" s="149"/>
      <c r="I17" s="149"/>
      <c r="J17" s="149"/>
      <c r="K17" s="149"/>
      <c r="L17" s="149"/>
      <c r="M17" s="230"/>
      <c r="N17" s="142"/>
      <c r="P17" s="142"/>
    </row>
    <row r="18" spans="1:16">
      <c r="O18" s="136"/>
    </row>
    <row r="20" spans="1:16" ht="17" thickBot="1">
      <c r="C20" s="122">
        <v>70274</v>
      </c>
      <c r="D20" s="147">
        <v>81417</v>
      </c>
    </row>
    <row r="21" spans="1:16" ht="17" thickBot="1">
      <c r="C21" s="122">
        <v>69253</v>
      </c>
      <c r="D21" s="147">
        <v>80227</v>
      </c>
    </row>
    <row r="22" spans="1:16" ht="17" thickBot="1">
      <c r="C22" s="122">
        <v>68231</v>
      </c>
      <c r="D22" s="147">
        <v>79038</v>
      </c>
    </row>
    <row r="23" spans="1:16" ht="17" thickBot="1">
      <c r="C23" s="122">
        <v>67208</v>
      </c>
      <c r="D23" s="147">
        <v>77851</v>
      </c>
    </row>
    <row r="24" spans="1:16" ht="17" thickBot="1">
      <c r="C24" s="122">
        <v>66185</v>
      </c>
      <c r="D24" s="147">
        <v>76664</v>
      </c>
    </row>
    <row r="25" spans="1:16" ht="17" thickBot="1">
      <c r="C25" s="122">
        <v>65162</v>
      </c>
      <c r="D25" s="147">
        <v>75475</v>
      </c>
    </row>
    <row r="26" spans="1:16" ht="17" thickBot="1">
      <c r="C26" s="122">
        <v>64139</v>
      </c>
      <c r="D26" s="147">
        <v>74289</v>
      </c>
    </row>
    <row r="27" spans="1:16" ht="17" thickBot="1">
      <c r="C27" s="122">
        <v>63116</v>
      </c>
      <c r="D27" s="147">
        <v>73100</v>
      </c>
    </row>
    <row r="28" spans="1:16" ht="17" thickBot="1">
      <c r="C28" s="122">
        <v>62093</v>
      </c>
      <c r="D28" s="147">
        <v>71910</v>
      </c>
    </row>
  </sheetData>
  <mergeCells count="1">
    <mergeCell ref="A1:N1"/>
  </mergeCells>
  <pageMargins left="0.7" right="0.7" top="0.78740157499999996" bottom="0.78740157499999996" header="0.3" footer="0.3"/>
  <pageSetup paperSize="9" scale="53" orientation="landscape" verticalDpi="0" r:id="rId1"/>
  <ignoredErrors>
    <ignoredError sqref="L5:L6"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A86A-9AE4-1E49-9570-63207CE7CCDC}">
  <sheetPr>
    <tabColor theme="9" tint="0.79998168889431442"/>
  </sheetPr>
  <dimension ref="A1:G19"/>
  <sheetViews>
    <sheetView zoomScale="150" zoomScaleNormal="150" workbookViewId="0">
      <selection activeCell="E5" sqref="E5:E11"/>
    </sheetView>
  </sheetViews>
  <sheetFormatPr baseColWidth="10" defaultColWidth="10.83203125" defaultRowHeight="13"/>
  <cols>
    <col min="1" max="1" width="49.5" style="1" bestFit="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2" customFormat="1" ht="26">
      <c r="A1" s="254" t="s">
        <v>370</v>
      </c>
      <c r="B1" s="254"/>
      <c r="C1" s="254"/>
      <c r="D1" s="254"/>
      <c r="E1" s="254"/>
      <c r="F1" s="254"/>
      <c r="G1" s="254"/>
    </row>
    <row r="2" spans="1:7" ht="15">
      <c r="A2" s="7"/>
      <c r="B2" s="7"/>
      <c r="C2" s="125"/>
      <c r="D2" s="8"/>
      <c r="E2" s="8"/>
      <c r="F2" s="8"/>
    </row>
    <row r="3" spans="1:7" s="260" customFormat="1" ht="16">
      <c r="A3" s="262" t="s">
        <v>51</v>
      </c>
      <c r="B3" s="263" t="s">
        <v>256</v>
      </c>
      <c r="C3" s="264" t="s">
        <v>254</v>
      </c>
      <c r="D3" s="263" t="s">
        <v>371</v>
      </c>
      <c r="E3" s="265" t="s">
        <v>284</v>
      </c>
      <c r="F3" s="261"/>
    </row>
    <row r="4" spans="1:7" s="255" customFormat="1">
      <c r="A4" s="256"/>
      <c r="B4" s="256"/>
      <c r="C4" s="256"/>
      <c r="D4" s="257"/>
      <c r="E4" s="258"/>
      <c r="F4" s="257"/>
    </row>
    <row r="5" spans="1:7" s="255" customFormat="1">
      <c r="A5" s="256" t="s">
        <v>278</v>
      </c>
      <c r="B5" s="266">
        <v>1</v>
      </c>
      <c r="C5" s="259">
        <v>64266</v>
      </c>
      <c r="D5" s="266">
        <v>0.14000000000000001</v>
      </c>
      <c r="E5" s="258">
        <f t="shared" ref="E5:E11" si="0">+C5/B5*(100%+D5)</f>
        <v>73263.240000000005</v>
      </c>
      <c r="F5" s="256"/>
      <c r="G5" s="256"/>
    </row>
    <row r="6" spans="1:7" s="255" customFormat="1">
      <c r="A6" s="256" t="s">
        <v>279</v>
      </c>
      <c r="B6" s="266">
        <v>1</v>
      </c>
      <c r="C6" s="259">
        <v>74427</v>
      </c>
      <c r="D6" s="266">
        <v>0.14000000000000001</v>
      </c>
      <c r="E6" s="258">
        <f t="shared" si="0"/>
        <v>84846.780000000013</v>
      </c>
      <c r="F6" s="256"/>
      <c r="G6" s="256"/>
    </row>
    <row r="7" spans="1:7" s="255" customFormat="1">
      <c r="A7" s="256" t="s">
        <v>280</v>
      </c>
      <c r="B7" s="266">
        <v>0.6</v>
      </c>
      <c r="C7" s="259">
        <v>48686.400000000001</v>
      </c>
      <c r="D7" s="267">
        <v>0.14499999999999999</v>
      </c>
      <c r="E7" s="258">
        <f t="shared" si="0"/>
        <v>92909.88</v>
      </c>
      <c r="F7" s="256"/>
      <c r="G7" s="256"/>
    </row>
    <row r="8" spans="1:7" s="255" customFormat="1">
      <c r="A8" s="256" t="s">
        <v>281</v>
      </c>
      <c r="B8" s="266">
        <v>0.6</v>
      </c>
      <c r="C8" s="259">
        <v>50238.9</v>
      </c>
      <c r="D8" s="267">
        <v>0.14499999999999999</v>
      </c>
      <c r="E8" s="258">
        <f t="shared" si="0"/>
        <v>95872.567500000005</v>
      </c>
      <c r="F8" s="256"/>
      <c r="G8" s="256"/>
    </row>
    <row r="9" spans="1:7" s="255" customFormat="1">
      <c r="A9" s="256" t="s">
        <v>282</v>
      </c>
      <c r="B9" s="266">
        <v>0.6</v>
      </c>
      <c r="C9" s="259">
        <v>51791.4</v>
      </c>
      <c r="D9" s="267">
        <v>0.14499999999999999</v>
      </c>
      <c r="E9" s="258">
        <f t="shared" si="0"/>
        <v>98835.255000000005</v>
      </c>
      <c r="F9" s="256"/>
      <c r="G9" s="256"/>
    </row>
    <row r="10" spans="1:7" s="255" customFormat="1">
      <c r="A10" s="256" t="s">
        <v>303</v>
      </c>
      <c r="B10" s="266">
        <v>1</v>
      </c>
      <c r="C10" s="259">
        <v>94064</v>
      </c>
      <c r="D10" s="266">
        <v>0.15</v>
      </c>
      <c r="E10" s="258">
        <f t="shared" si="0"/>
        <v>108173.59999999999</v>
      </c>
      <c r="F10" s="256"/>
      <c r="G10" s="256"/>
    </row>
    <row r="11" spans="1:7" s="255" customFormat="1">
      <c r="A11" s="256" t="s">
        <v>283</v>
      </c>
      <c r="B11" s="266">
        <v>1</v>
      </c>
      <c r="C11" s="259">
        <v>100240</v>
      </c>
      <c r="D11" s="266">
        <v>0.15</v>
      </c>
      <c r="E11" s="258">
        <f t="shared" si="0"/>
        <v>115275.99999999999</v>
      </c>
      <c r="F11" s="256"/>
      <c r="G11" s="256"/>
    </row>
    <row r="12" spans="1:7">
      <c r="A12" s="11"/>
      <c r="B12" s="11"/>
      <c r="C12" s="11"/>
      <c r="D12" s="253"/>
      <c r="E12" s="14"/>
      <c r="F12" s="253"/>
    </row>
    <row r="13" spans="1:7">
      <c r="A13" s="11"/>
      <c r="B13" s="11"/>
      <c r="C13" s="11"/>
      <c r="D13" s="253"/>
      <c r="E13" s="14"/>
      <c r="F13" s="253"/>
    </row>
    <row r="14" spans="1:7">
      <c r="A14" s="11"/>
      <c r="B14" s="11"/>
      <c r="C14" s="11"/>
      <c r="D14" s="253"/>
      <c r="E14" s="14"/>
      <c r="F14" s="253"/>
    </row>
    <row r="15" spans="1:7">
      <c r="A15" s="11"/>
      <c r="B15" s="11"/>
      <c r="C15" s="11"/>
      <c r="D15" s="253"/>
      <c r="E15" s="14"/>
      <c r="F15" s="253"/>
    </row>
    <row r="16" spans="1:7">
      <c r="A16" s="11"/>
      <c r="B16" s="11"/>
      <c r="C16" s="11"/>
      <c r="D16" s="253"/>
      <c r="E16" s="14"/>
      <c r="F16" s="253"/>
    </row>
    <row r="17" spans="1:7">
      <c r="A17" s="17"/>
      <c r="B17" s="17"/>
      <c r="C17" s="17"/>
      <c r="D17" s="253"/>
      <c r="E17" s="20"/>
      <c r="F17" s="253"/>
    </row>
    <row r="18" spans="1:7" s="122" customFormat="1" ht="16">
      <c r="C18" s="121"/>
      <c r="G18" s="136"/>
    </row>
    <row r="19" spans="1:7" s="122" customFormat="1" ht="16">
      <c r="C19" s="121"/>
    </row>
  </sheetData>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30"/>
  <sheetViews>
    <sheetView topLeftCell="A5" zoomScale="140" zoomScaleNormal="140" workbookViewId="0">
      <selection activeCell="I7" sqref="I7:I10"/>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340</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ht="13" customHeight="1">
      <c r="A6" s="11"/>
      <c r="B6" s="12"/>
      <c r="C6" s="82"/>
      <c r="D6" s="14"/>
      <c r="E6" s="15"/>
      <c r="F6" s="16"/>
    </row>
    <row r="7" spans="1:8" ht="13" customHeight="1">
      <c r="A7" s="11" t="s">
        <v>166</v>
      </c>
      <c r="B7" s="12">
        <v>110</v>
      </c>
      <c r="C7" s="82">
        <f>1964-(4*42)</f>
        <v>1796</v>
      </c>
      <c r="D7" s="14">
        <f>+B7*C7</f>
        <v>197560</v>
      </c>
      <c r="E7" s="15">
        <f>+D7/12</f>
        <v>16463.333333333332</v>
      </c>
      <c r="F7" s="16">
        <f>+B7*8.4</f>
        <v>924</v>
      </c>
      <c r="G7" s="1" t="s">
        <v>172</v>
      </c>
    </row>
    <row r="8" spans="1:8" ht="14" customHeight="1">
      <c r="A8" s="11" t="s">
        <v>156</v>
      </c>
      <c r="B8" s="12">
        <v>70</v>
      </c>
      <c r="C8" s="82">
        <v>1964</v>
      </c>
      <c r="D8" s="14">
        <f t="shared" ref="D8:D10" si="0">+B8*C8</f>
        <v>137480</v>
      </c>
      <c r="E8" s="15">
        <f t="shared" ref="E8:E10" si="1">+D8/12</f>
        <v>11456.666666666666</v>
      </c>
      <c r="F8" s="16">
        <f t="shared" ref="F8:F10" si="2">+B8*8.4</f>
        <v>588</v>
      </c>
    </row>
    <row r="9" spans="1:8">
      <c r="A9" s="11" t="s">
        <v>157</v>
      </c>
      <c r="B9" s="12">
        <v>50</v>
      </c>
      <c r="C9" s="82">
        <v>1964</v>
      </c>
      <c r="D9" s="14">
        <f t="shared" si="0"/>
        <v>98200</v>
      </c>
      <c r="E9" s="15">
        <f t="shared" si="1"/>
        <v>8183.333333333333</v>
      </c>
      <c r="F9" s="16">
        <f t="shared" si="2"/>
        <v>420</v>
      </c>
      <c r="H9" s="14"/>
    </row>
    <row r="10" spans="1:8">
      <c r="A10" s="17" t="s">
        <v>158</v>
      </c>
      <c r="B10" s="18">
        <v>70</v>
      </c>
      <c r="C10" s="83">
        <v>1964</v>
      </c>
      <c r="D10" s="20">
        <f t="shared" si="0"/>
        <v>137480</v>
      </c>
      <c r="E10" s="21">
        <f t="shared" si="1"/>
        <v>11456.666666666666</v>
      </c>
      <c r="F10" s="22">
        <f t="shared" si="2"/>
        <v>588</v>
      </c>
      <c r="H10" s="14"/>
    </row>
    <row r="11" spans="1:8">
      <c r="F11" s="16"/>
      <c r="G11" s="16"/>
    </row>
    <row r="12" spans="1:8" ht="16">
      <c r="A12" s="47" t="s">
        <v>137</v>
      </c>
      <c r="B12" s="47"/>
      <c r="C12" s="48"/>
      <c r="D12" s="48"/>
      <c r="E12" s="48"/>
    </row>
    <row r="13" spans="1:8" ht="16">
      <c r="A13" s="49" t="s">
        <v>138</v>
      </c>
      <c r="B13" s="47"/>
      <c r="C13" s="48"/>
      <c r="D13" s="48"/>
      <c r="E13" s="48"/>
    </row>
    <row r="14" spans="1:8" ht="16">
      <c r="A14" s="49" t="s">
        <v>139</v>
      </c>
      <c r="B14" s="47"/>
      <c r="C14" s="48"/>
      <c r="D14" s="48"/>
      <c r="E14" s="48"/>
    </row>
    <row r="15" spans="1:8" ht="16">
      <c r="A15" s="49" t="s">
        <v>140</v>
      </c>
      <c r="B15" s="47"/>
      <c r="C15" s="48"/>
      <c r="D15" s="48"/>
      <c r="E15" s="48"/>
    </row>
    <row r="16" spans="1:8" ht="16">
      <c r="A16" s="49" t="s">
        <v>141</v>
      </c>
      <c r="B16" s="47"/>
      <c r="C16" s="48"/>
      <c r="D16" s="48"/>
      <c r="E16" s="48"/>
    </row>
    <row r="17" spans="1:5" ht="16">
      <c r="A17" s="49" t="s">
        <v>142</v>
      </c>
      <c r="B17" s="47"/>
      <c r="C17" s="48"/>
      <c r="D17" s="48"/>
      <c r="E17" s="48"/>
    </row>
    <row r="18" spans="1:5" ht="16">
      <c r="A18" s="49" t="s">
        <v>143</v>
      </c>
      <c r="B18" s="47"/>
      <c r="C18" s="48"/>
      <c r="D18" s="48"/>
      <c r="E18" s="48"/>
    </row>
    <row r="19" spans="1:5" ht="16">
      <c r="A19" s="47"/>
      <c r="B19" s="47"/>
      <c r="C19" s="48"/>
      <c r="D19" s="48"/>
      <c r="E19" s="48"/>
    </row>
    <row r="20" spans="1:5">
      <c r="A20" s="339" t="s">
        <v>144</v>
      </c>
      <c r="B20" s="339"/>
      <c r="C20" s="339"/>
      <c r="D20" s="339"/>
      <c r="E20" s="339"/>
    </row>
    <row r="23" spans="1:5">
      <c r="A23" s="85" t="s">
        <v>168</v>
      </c>
    </row>
    <row r="25" spans="1:5">
      <c r="A25" s="86">
        <v>42</v>
      </c>
      <c r="B25" s="86" t="s">
        <v>169</v>
      </c>
    </row>
    <row r="26" spans="1:5">
      <c r="A26" s="86">
        <v>52</v>
      </c>
      <c r="B26" s="86" t="s">
        <v>341</v>
      </c>
    </row>
    <row r="27" spans="1:5">
      <c r="A27" s="86">
        <v>5</v>
      </c>
      <c r="B27" s="86" t="s">
        <v>170</v>
      </c>
    </row>
    <row r="28" spans="1:5">
      <c r="A28" s="86">
        <v>10</v>
      </c>
      <c r="B28" s="86" t="s">
        <v>171</v>
      </c>
    </row>
    <row r="30" spans="1:5">
      <c r="A30" s="1">
        <f>A25*(A26-A27)-A28</f>
        <v>1964</v>
      </c>
      <c r="B30" s="1" t="s">
        <v>173</v>
      </c>
    </row>
  </sheetData>
  <mergeCells count="2">
    <mergeCell ref="A20:E20"/>
    <mergeCell ref="A1:F1"/>
  </mergeCells>
  <pageMargins left="0.7" right="0.7" top="0.78740157499999996" bottom="0.7874015749999999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Wegleitung Kalkulation</vt:lpstr>
      <vt:lpstr>DIZH Budget Kalkulation</vt:lpstr>
      <vt:lpstr>Personalkosten</vt:lpstr>
      <vt:lpstr>Teuerung</vt:lpstr>
      <vt:lpstr>PHZH_Personal_2023</vt:lpstr>
      <vt:lpstr>UZH_Personal_2021</vt:lpstr>
      <vt:lpstr>UZH_Personal_2022</vt:lpstr>
      <vt:lpstr>UZH_Personal_2023</vt:lpstr>
      <vt:lpstr>ZHAW_Personal</vt:lpstr>
      <vt:lpstr>ZHDK_Personal</vt:lpstr>
      <vt:lpstr>PHZH_Personal_22</vt:lpstr>
      <vt:lpstr>ZHAW - Kostensätze 2021</vt:lpstr>
      <vt:lpstr>'ZHAW - Kostensätze 2021'!Druckbereich</vt:lpstr>
      <vt:lpstr>PHZH_Personal_2023!Finanzierung</vt:lpstr>
      <vt:lpstr>PHZH_Personal_22!Finanzierung</vt:lpstr>
      <vt:lpstr>Finanzierung</vt:lpstr>
      <vt:lpstr>PHZH_Personal_2023!Personalkostensätze</vt:lpstr>
      <vt:lpstr>PHZH_Personal_22!Personalkostensätze</vt:lpstr>
      <vt:lpstr>UZH_Personal_2021!Personalkostensätze</vt:lpstr>
      <vt:lpstr>UZH_Personal_2022!Personalkostensätze</vt:lpstr>
      <vt:lpstr>UZH_Personal_2023!Personalkostensätze</vt:lpstr>
      <vt:lpstr>ZHAW_Personal!Personalkostensätze</vt:lpstr>
      <vt:lpstr>Personalkostensätze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Schuler2</dc:creator>
  <cp:lastModifiedBy>Daniel Schuler</cp:lastModifiedBy>
  <cp:lastPrinted>2021-09-30T09:09:42Z</cp:lastPrinted>
  <dcterms:created xsi:type="dcterms:W3CDTF">2021-04-29T13:48:47Z</dcterms:created>
  <dcterms:modified xsi:type="dcterms:W3CDTF">2023-07-13T11:02:58Z</dcterms:modified>
</cp:coreProperties>
</file>